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project\rpt\org\"/>
    </mc:Choice>
  </mc:AlternateContent>
  <xr:revisionPtr revIDLastSave="0" documentId="10_ncr:8100000_{13964539-8350-4BC6-A9A1-EABFBC5EA211}" xr6:coauthVersionLast="33" xr6:coauthVersionMax="33" xr10:uidLastSave="{00000000-0000-0000-0000-000000000000}"/>
  <bookViews>
    <workbookView xWindow="17700" yWindow="465" windowWidth="18075" windowHeight="11070" activeTab="1" xr2:uid="{00000000-000D-0000-FFFF-FFFF00000000}"/>
  </bookViews>
  <sheets>
    <sheet name="layout" sheetId="37" r:id="rId1"/>
    <sheet name="format" sheetId="33" r:id="rId2"/>
    <sheet name="sample" sheetId="36" r:id="rId3"/>
  </sheets>
  <definedNames>
    <definedName name="_1" localSheetId="2">sample!$A$10:$K$121</definedName>
    <definedName name="_xlnm.Print_Titles" localSheetId="1">format!$1:$9</definedName>
    <definedName name="_xlnm.Print_Titles" localSheetId="0">layout!$1:$9</definedName>
    <definedName name="_xlnm.Print_Titles" localSheetId="2">sample!$1:$9</definedName>
  </definedNames>
  <calcPr calcId="162913" refMode="R1C1"/>
</workbook>
</file>

<file path=xl/calcChain.xml><?xml version="1.0" encoding="utf-8"?>
<calcChain xmlns="http://schemas.openxmlformats.org/spreadsheetml/2006/main">
  <c r="J3" i="37" l="1"/>
  <c r="F120" i="36" l="1"/>
  <c r="D119" i="36"/>
  <c r="F117" i="36"/>
  <c r="F114" i="36"/>
  <c r="F111" i="36"/>
  <c r="D110" i="36"/>
  <c r="F108" i="36"/>
  <c r="D107" i="36"/>
  <c r="F105" i="36"/>
  <c r="F102" i="36"/>
  <c r="D101" i="36"/>
  <c r="F99" i="36"/>
  <c r="D98" i="36"/>
  <c r="F96" i="36"/>
  <c r="F93" i="36"/>
  <c r="F90" i="36"/>
  <c r="F87" i="36"/>
  <c r="K84" i="36"/>
  <c r="I84" i="36"/>
  <c r="F84" i="36"/>
  <c r="D84" i="36"/>
  <c r="C83" i="36"/>
  <c r="K81" i="36"/>
  <c r="I81" i="36"/>
  <c r="F81" i="36"/>
  <c r="D81" i="36"/>
  <c r="C80" i="36"/>
  <c r="K78" i="36"/>
  <c r="I78" i="36"/>
  <c r="F78" i="36"/>
  <c r="D78" i="36"/>
  <c r="C77" i="36"/>
  <c r="K75" i="36"/>
  <c r="I75" i="36"/>
  <c r="F75" i="36"/>
  <c r="D75" i="36"/>
  <c r="C74" i="36"/>
  <c r="K72" i="36"/>
  <c r="I72" i="36"/>
  <c r="F72" i="36"/>
  <c r="D72" i="36"/>
  <c r="C71" i="36"/>
  <c r="K69" i="36"/>
  <c r="I69" i="36"/>
  <c r="F69" i="36"/>
  <c r="D69" i="36"/>
  <c r="F68" i="36"/>
  <c r="D68" i="36"/>
  <c r="C68" i="36"/>
  <c r="F67" i="36"/>
  <c r="D67" i="36"/>
  <c r="C67" i="36"/>
  <c r="K65" i="36"/>
  <c r="I65" i="36"/>
  <c r="F65" i="36"/>
  <c r="D65" i="36"/>
  <c r="F64" i="36"/>
  <c r="D64" i="36"/>
  <c r="C64" i="36"/>
  <c r="F63" i="36"/>
  <c r="D63" i="36"/>
  <c r="C63" i="36"/>
  <c r="F62" i="36"/>
  <c r="D62" i="36"/>
  <c r="C62" i="36"/>
  <c r="F61" i="36"/>
  <c r="D61" i="36"/>
  <c r="C61" i="36"/>
  <c r="F60" i="36"/>
  <c r="D60" i="36"/>
  <c r="C60" i="36"/>
  <c r="F59" i="36"/>
  <c r="D59" i="36"/>
  <c r="C59" i="36"/>
  <c r="F58" i="36"/>
  <c r="D58" i="36"/>
  <c r="C58" i="36"/>
  <c r="K56" i="36"/>
  <c r="I56" i="36"/>
  <c r="F56" i="36"/>
  <c r="D56" i="36"/>
  <c r="F55" i="36"/>
  <c r="D55" i="36"/>
  <c r="C55" i="36"/>
  <c r="F54" i="36"/>
  <c r="D54" i="36"/>
  <c r="C54" i="36"/>
  <c r="F53" i="36"/>
  <c r="D53" i="36"/>
  <c r="C53" i="36"/>
  <c r="K51" i="36"/>
  <c r="I51" i="36"/>
  <c r="F51" i="36"/>
  <c r="D51" i="36"/>
  <c r="F50" i="36"/>
  <c r="D50" i="36"/>
  <c r="C50" i="36"/>
  <c r="K48" i="36"/>
  <c r="I48" i="36"/>
  <c r="F48" i="36"/>
  <c r="D48" i="36"/>
  <c r="F47" i="36"/>
  <c r="D47" i="36"/>
  <c r="C47" i="36"/>
  <c r="F46" i="36"/>
  <c r="D46" i="36"/>
  <c r="C46" i="36"/>
  <c r="K44" i="36"/>
  <c r="I44" i="36"/>
  <c r="F44" i="36"/>
  <c r="D44" i="36"/>
  <c r="F43" i="36"/>
  <c r="D43" i="36"/>
  <c r="C43" i="36"/>
  <c r="K41" i="36"/>
  <c r="I41" i="36"/>
  <c r="F41" i="36"/>
  <c r="D41" i="36"/>
  <c r="F40" i="36"/>
  <c r="D40" i="36"/>
  <c r="C40" i="36"/>
  <c r="F39" i="36"/>
  <c r="D39" i="36"/>
  <c r="C39" i="36"/>
  <c r="F38" i="36"/>
  <c r="D38" i="36"/>
  <c r="C38" i="36"/>
  <c r="F37" i="36"/>
  <c r="D37" i="36"/>
  <c r="C37" i="36"/>
  <c r="F36" i="36"/>
  <c r="D36" i="36"/>
  <c r="C36" i="36"/>
  <c r="K34" i="36"/>
  <c r="I34" i="36"/>
  <c r="F34" i="36"/>
  <c r="D34" i="36"/>
  <c r="F33" i="36"/>
  <c r="D33" i="36"/>
  <c r="C33" i="36"/>
  <c r="K31" i="36"/>
  <c r="I31" i="36"/>
  <c r="F31" i="36"/>
  <c r="D31" i="36"/>
  <c r="F30" i="36"/>
  <c r="D30" i="36"/>
  <c r="C30" i="36"/>
  <c r="K28" i="36"/>
  <c r="I28" i="36"/>
  <c r="F28" i="36"/>
  <c r="D28" i="36"/>
  <c r="F27" i="36"/>
  <c r="D27" i="36"/>
  <c r="C27" i="36"/>
  <c r="F26" i="36"/>
  <c r="D26" i="36"/>
  <c r="C26" i="36"/>
  <c r="K24" i="36"/>
  <c r="I24" i="36"/>
  <c r="F24" i="36"/>
  <c r="D24" i="36"/>
  <c r="F23" i="36"/>
  <c r="D23" i="36"/>
  <c r="C23" i="36"/>
  <c r="F22" i="36"/>
  <c r="D22" i="36"/>
  <c r="C22" i="36"/>
  <c r="F21" i="36"/>
  <c r="D21" i="36"/>
  <c r="C21" i="36"/>
  <c r="K19" i="36"/>
  <c r="I19" i="36"/>
  <c r="F19" i="36"/>
  <c r="D19" i="36"/>
  <c r="F18" i="36"/>
  <c r="D18" i="36"/>
  <c r="C18" i="36"/>
  <c r="F17" i="36"/>
  <c r="D17" i="36"/>
  <c r="C17" i="36"/>
  <c r="F16" i="36"/>
  <c r="D16" i="36"/>
  <c r="C16" i="36"/>
  <c r="F15" i="36"/>
  <c r="D15" i="36"/>
  <c r="C15" i="36"/>
  <c r="F14" i="36"/>
  <c r="D14" i="36"/>
  <c r="C14" i="36"/>
  <c r="F13" i="36"/>
  <c r="D13" i="36"/>
  <c r="C13" i="36"/>
  <c r="K11" i="36"/>
  <c r="I11" i="36"/>
  <c r="F11" i="36"/>
  <c r="D11" i="36"/>
  <c r="F10" i="36"/>
  <c r="D10" i="36"/>
  <c r="C10" i="36"/>
  <c r="J3" i="36"/>
  <c r="J3" i="3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SRAS05_20171227173432_00000001" type="6" refreshedVersion="4" deleted="1" background="1" saveData="1">
    <textPr prompt="0" codePage="932" sourceFile="C:\jobs\1444\project\rpt\work\BASRAS05_20171227173432_0000000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<sst xmlns="http://schemas.openxmlformats.org/spreadsheetml/2006/main" count="24" uniqueCount="20">
  <si>
    <t>工事名称：</t>
    <rPh sb="0" eb="2">
      <t>コウジ</t>
    </rPh>
    <rPh sb="2" eb="4">
      <t>メイショウ</t>
    </rPh>
    <phoneticPr fontId="1"/>
  </si>
  <si>
    <t>取引先名：</t>
    <rPh sb="0" eb="2">
      <t>トリヒキ</t>
    </rPh>
    <rPh sb="2" eb="3">
      <t>サキ</t>
    </rPh>
    <rPh sb="3" eb="4">
      <t>メイ</t>
    </rPh>
    <phoneticPr fontId="1"/>
  </si>
  <si>
    <t>部品リスト</t>
    <rPh sb="0" eb="2">
      <t>ブヒン</t>
    </rPh>
    <phoneticPr fontId="1"/>
  </si>
  <si>
    <t>No.</t>
    <phoneticPr fontId="1"/>
  </si>
  <si>
    <t>17-2223TF2</t>
  </si>
  <si>
    <t>取引先名：</t>
    <phoneticPr fontId="1"/>
  </si>
  <si>
    <t>　　　髙 橋 工 業 株 式 会 社</t>
  </si>
  <si>
    <t>工事名称：</t>
    <phoneticPr fontId="1"/>
  </si>
  <si>
    <t>17-027ﾄﾝﾈﾙﾌﾘｰｻﾞｰ操作盤</t>
  </si>
  <si>
    <t>No.</t>
  </si>
  <si>
    <t>品名</t>
  </si>
  <si>
    <t>型式</t>
  </si>
  <si>
    <t>仕様</t>
  </si>
  <si>
    <t>メーカー名</t>
  </si>
  <si>
    <t>数量</t>
  </si>
  <si>
    <t>単価</t>
  </si>
  <si>
    <t>見積金額</t>
  </si>
  <si>
    <t>原価</t>
  </si>
  <si>
    <t>仕入金額</t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</si>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</sst>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yyyy&quot;年&quot;m&quot;月&quot;d&quot;日&quot;;@"/>
    <numFmt numFmtId="179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distributed"/>
    </xf>
    <xf numFmtId="0" fontId="2" fillId="2" borderId="5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9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7" xfId="0" applyFont="1" applyBorder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 shrinkToFit="1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center" shrinkToFit="1"/>
    </xf>
    <xf numFmtId="0" fontId="2" fillId="0" borderId="2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shrinkToFit="1"/>
    </xf>
    <xf numFmtId="0" fontId="2" fillId="0" borderId="6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vertical="center" shrinkToFit="1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19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2" xfId="0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1" xr16:uid="{00000000-0016-0000-02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workbookViewId="0">
      <selection activeCell="J4" sqref="J4:K4"/>
    </sheetView>
  </sheetViews>
  <sheetFormatPr defaultRowHeight="13.5" x14ac:dyDescent="0.15"/>
  <cols>
    <col min="1" max="1" width="3.5" style="1" customWidth="1"/>
    <col min="2" max="2" width="11.375" style="1" customWidth="1"/>
    <col min="3" max="4" width="28" style="1" customWidth="1"/>
    <col min="5" max="5" width="20.875" style="1" customWidth="1"/>
    <col min="6" max="6" width="17.375" style="1" customWidth="1"/>
    <col min="7" max="7" width="7" style="1" customWidth="1"/>
    <col min="8" max="8" width="13.875" style="1" customWidth="1"/>
    <col min="9" max="9" width="13.875" style="57" customWidth="1"/>
    <col min="10" max="10" width="13.875" style="1" customWidth="1"/>
    <col min="11" max="11" width="13.875" style="57" customWidth="1"/>
    <col min="12" max="12" width="3.5" style="1" customWidth="1"/>
    <col min="13" max="16384" width="9" style="1"/>
  </cols>
  <sheetData>
    <row r="1" spans="1:12" x14ac:dyDescent="0.15">
      <c r="I1" s="1"/>
      <c r="K1" s="1"/>
    </row>
    <row r="2" spans="1:12" x14ac:dyDescent="0.15">
      <c r="I2" s="1"/>
      <c r="K2" s="1"/>
    </row>
    <row r="3" spans="1:12" x14ac:dyDescent="0.15">
      <c r="B3" s="67" t="s">
        <v>2</v>
      </c>
      <c r="C3" s="67"/>
      <c r="I3" s="1"/>
      <c r="J3" s="69">
        <f ca="1">TODAY()</f>
        <v>43276</v>
      </c>
      <c r="K3" s="69"/>
    </row>
    <row r="4" spans="1:12" x14ac:dyDescent="0.15">
      <c r="B4" s="68"/>
      <c r="C4" s="68"/>
      <c r="I4" s="2"/>
      <c r="J4" s="74"/>
      <c r="K4" s="74"/>
    </row>
    <row r="5" spans="1:12" x14ac:dyDescent="0.15">
      <c r="I5" s="1"/>
      <c r="K5" s="1"/>
    </row>
    <row r="6" spans="1:12" x14ac:dyDescent="0.15">
      <c r="B6" s="3" t="s">
        <v>1</v>
      </c>
      <c r="C6" s="58"/>
      <c r="I6" s="1"/>
      <c r="K6" s="1"/>
    </row>
    <row r="7" spans="1:12" x14ac:dyDescent="0.15">
      <c r="B7" s="3" t="s">
        <v>0</v>
      </c>
      <c r="C7" s="71"/>
      <c r="D7" s="71"/>
      <c r="I7" s="1"/>
      <c r="K7" s="1"/>
    </row>
    <row r="8" spans="1:12" x14ac:dyDescent="0.15">
      <c r="C8" s="66"/>
      <c r="D8" s="66"/>
      <c r="I8" s="1"/>
      <c r="K8" s="1"/>
    </row>
    <row r="9" spans="1:12" ht="27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x14ac:dyDescent="0.15">
      <c r="A10" s="36"/>
      <c r="B10" s="36"/>
      <c r="C10" s="37"/>
      <c r="D10" s="37"/>
      <c r="E10" s="37"/>
      <c r="F10" s="37"/>
      <c r="G10" s="36"/>
      <c r="H10" s="36"/>
      <c r="I10" s="56"/>
      <c r="J10" s="36"/>
      <c r="K10" s="56"/>
      <c r="L10" s="36"/>
    </row>
    <row r="11" spans="1:12" x14ac:dyDescent="0.15">
      <c r="A11" s="36"/>
      <c r="B11" s="36"/>
      <c r="C11" s="37"/>
      <c r="D11" s="37"/>
      <c r="E11" s="37"/>
      <c r="F11" s="37"/>
      <c r="G11" s="36"/>
      <c r="H11" s="36"/>
      <c r="I11" s="56"/>
      <c r="J11" s="36"/>
      <c r="K11" s="56"/>
      <c r="L11" s="36"/>
    </row>
    <row r="12" spans="1:12" x14ac:dyDescent="0.15">
      <c r="A12" s="36"/>
      <c r="B12" s="36"/>
      <c r="C12" s="37"/>
      <c r="D12" s="37"/>
      <c r="E12" s="37"/>
      <c r="F12" s="37"/>
      <c r="G12" s="36"/>
      <c r="H12" s="36"/>
      <c r="I12" s="56"/>
      <c r="J12" s="36"/>
      <c r="K12" s="56"/>
      <c r="L12" s="36"/>
    </row>
    <row r="13" spans="1:12" x14ac:dyDescent="0.15">
      <c r="A13" s="36"/>
      <c r="B13" s="36"/>
      <c r="C13" s="37"/>
      <c r="D13" s="37"/>
      <c r="E13" s="37"/>
      <c r="F13" s="37"/>
      <c r="G13" s="36"/>
      <c r="H13" s="36"/>
      <c r="I13" s="56"/>
      <c r="J13" s="36"/>
      <c r="K13" s="56"/>
      <c r="L13" s="36"/>
    </row>
    <row r="14" spans="1:12" x14ac:dyDescent="0.15">
      <c r="A14" s="36"/>
      <c r="B14" s="36"/>
      <c r="C14" s="37"/>
      <c r="D14" s="37"/>
      <c r="E14" s="37"/>
      <c r="F14" s="37"/>
      <c r="G14" s="36"/>
      <c r="H14" s="36"/>
      <c r="I14" s="56"/>
      <c r="J14" s="36"/>
      <c r="K14" s="56"/>
      <c r="L14" s="36"/>
    </row>
    <row r="15" spans="1:12" x14ac:dyDescent="0.15">
      <c r="A15" s="36"/>
      <c r="B15" s="36"/>
      <c r="C15" s="37"/>
      <c r="D15" s="37"/>
      <c r="E15" s="37"/>
      <c r="F15" s="37"/>
      <c r="G15" s="36"/>
      <c r="H15" s="36"/>
      <c r="I15" s="56"/>
      <c r="J15" s="36"/>
      <c r="K15" s="56"/>
      <c r="L15" s="36"/>
    </row>
    <row r="16" spans="1:12" x14ac:dyDescent="0.15">
      <c r="A16" s="36"/>
      <c r="B16" s="36"/>
      <c r="C16" s="37"/>
      <c r="D16" s="37"/>
      <c r="E16" s="37"/>
      <c r="F16" s="37"/>
      <c r="G16" s="36"/>
      <c r="H16" s="36"/>
      <c r="I16" s="56"/>
      <c r="J16" s="36"/>
      <c r="K16" s="56"/>
      <c r="L16" s="36"/>
    </row>
    <row r="17" spans="1:12" x14ac:dyDescent="0.15">
      <c r="A17" s="36"/>
      <c r="B17" s="36"/>
      <c r="C17" s="37"/>
      <c r="D17" s="37"/>
      <c r="E17" s="37"/>
      <c r="F17" s="37"/>
      <c r="G17" s="36"/>
      <c r="H17" s="36"/>
      <c r="I17" s="56"/>
      <c r="J17" s="36"/>
      <c r="K17" s="56"/>
      <c r="L17" s="36"/>
    </row>
    <row r="18" spans="1:12" x14ac:dyDescent="0.15">
      <c r="A18" s="36"/>
      <c r="B18" s="36"/>
      <c r="C18" s="37"/>
      <c r="D18" s="37"/>
      <c r="E18" s="37"/>
      <c r="F18" s="37"/>
      <c r="G18" s="36"/>
      <c r="H18" s="36"/>
      <c r="I18" s="56"/>
      <c r="J18" s="36"/>
      <c r="K18" s="56"/>
      <c r="L18" s="36"/>
    </row>
    <row r="19" spans="1:12" x14ac:dyDescent="0.15">
      <c r="A19" s="36"/>
      <c r="B19" s="36"/>
      <c r="C19" s="37"/>
      <c r="D19" s="37"/>
      <c r="E19" s="37"/>
      <c r="F19" s="37"/>
      <c r="G19" s="36"/>
      <c r="H19" s="36"/>
      <c r="I19" s="56"/>
      <c r="J19" s="36"/>
      <c r="K19" s="56"/>
      <c r="L19" s="36"/>
    </row>
    <row r="20" spans="1:12" x14ac:dyDescent="0.15">
      <c r="A20" s="36"/>
      <c r="B20" s="36"/>
      <c r="C20" s="37"/>
      <c r="D20" s="37"/>
      <c r="E20" s="37"/>
      <c r="F20" s="37"/>
      <c r="G20" s="36"/>
      <c r="H20" s="36"/>
      <c r="I20" s="56"/>
      <c r="J20" s="36"/>
      <c r="K20" s="56"/>
      <c r="L20" s="36"/>
    </row>
    <row r="21" spans="1:12" x14ac:dyDescent="0.15">
      <c r="A21" s="36"/>
      <c r="B21" s="36"/>
      <c r="C21" s="37"/>
      <c r="D21" s="37"/>
      <c r="E21" s="37"/>
      <c r="F21" s="37"/>
      <c r="G21" s="36"/>
      <c r="H21" s="36"/>
      <c r="I21" s="56"/>
      <c r="J21" s="36"/>
      <c r="K21" s="56"/>
      <c r="L21" s="36"/>
    </row>
    <row r="22" spans="1:12" x14ac:dyDescent="0.15">
      <c r="A22" s="36"/>
      <c r="B22" s="36"/>
      <c r="C22" s="37"/>
      <c r="D22" s="37"/>
      <c r="E22" s="37"/>
      <c r="F22" s="37"/>
      <c r="G22" s="36"/>
      <c r="H22" s="36"/>
      <c r="I22" s="56"/>
      <c r="J22" s="36"/>
      <c r="K22" s="56"/>
      <c r="L22" s="36"/>
    </row>
    <row r="23" spans="1:12" x14ac:dyDescent="0.15">
      <c r="A23" s="36"/>
      <c r="B23" s="36"/>
      <c r="C23" s="37"/>
      <c r="D23" s="37"/>
      <c r="E23" s="37"/>
      <c r="F23" s="37"/>
      <c r="G23" s="36"/>
      <c r="H23" s="36"/>
      <c r="I23" s="56"/>
      <c r="J23" s="36"/>
      <c r="K23" s="56"/>
      <c r="L23" s="36"/>
    </row>
    <row r="24" spans="1:12" x14ac:dyDescent="0.15">
      <c r="A24" s="36"/>
      <c r="B24" s="36"/>
      <c r="C24" s="37"/>
      <c r="D24" s="37"/>
      <c r="E24" s="37"/>
      <c r="F24" s="37"/>
      <c r="G24" s="36"/>
      <c r="H24" s="36"/>
      <c r="I24" s="56"/>
      <c r="J24" s="36"/>
      <c r="K24" s="56"/>
      <c r="L24" s="36"/>
    </row>
    <row r="25" spans="1:12" x14ac:dyDescent="0.15">
      <c r="A25" s="36"/>
      <c r="B25" s="36"/>
      <c r="C25" s="37"/>
      <c r="D25" s="37"/>
      <c r="E25" s="37"/>
      <c r="F25" s="37"/>
      <c r="G25" s="36"/>
      <c r="H25" s="36"/>
      <c r="I25" s="56"/>
      <c r="J25" s="36"/>
      <c r="K25" s="56"/>
      <c r="L25" s="36"/>
    </row>
    <row r="26" spans="1:12" x14ac:dyDescent="0.15">
      <c r="A26" s="36"/>
      <c r="B26" s="36"/>
      <c r="C26" s="37"/>
      <c r="D26" s="37"/>
      <c r="E26" s="37"/>
      <c r="F26" s="37"/>
      <c r="G26" s="36"/>
      <c r="H26" s="36"/>
      <c r="I26" s="56"/>
      <c r="J26" s="36"/>
      <c r="K26" s="56"/>
      <c r="L26" s="36"/>
    </row>
    <row r="27" spans="1:12" x14ac:dyDescent="0.15">
      <c r="A27" s="36"/>
      <c r="B27" s="36"/>
      <c r="C27" s="37"/>
      <c r="D27" s="37"/>
      <c r="E27" s="37"/>
      <c r="F27" s="37"/>
      <c r="G27" s="36"/>
      <c r="H27" s="36"/>
      <c r="I27" s="56"/>
      <c r="J27" s="36"/>
      <c r="K27" s="56"/>
      <c r="L27" s="36"/>
    </row>
    <row r="28" spans="1:12" x14ac:dyDescent="0.15">
      <c r="A28" s="36"/>
      <c r="B28" s="36"/>
      <c r="C28" s="37"/>
      <c r="D28" s="37"/>
      <c r="E28" s="37"/>
      <c r="F28" s="37"/>
      <c r="G28" s="36"/>
      <c r="H28" s="36"/>
      <c r="I28" s="56"/>
      <c r="J28" s="36"/>
      <c r="K28" s="56"/>
      <c r="L28" s="36"/>
    </row>
    <row r="29" spans="1:12" x14ac:dyDescent="0.15">
      <c r="A29" s="36"/>
      <c r="B29" s="36"/>
      <c r="C29" s="37"/>
      <c r="D29" s="37"/>
      <c r="E29" s="37"/>
      <c r="F29" s="37"/>
      <c r="G29" s="36"/>
      <c r="H29" s="36"/>
      <c r="I29" s="56"/>
      <c r="J29" s="36"/>
      <c r="K29" s="56"/>
      <c r="L29" s="36"/>
    </row>
    <row r="30" spans="1:12" x14ac:dyDescent="0.15">
      <c r="A30" s="36"/>
      <c r="B30" s="36"/>
      <c r="C30" s="37"/>
      <c r="D30" s="37"/>
      <c r="E30" s="37"/>
      <c r="F30" s="37"/>
      <c r="G30" s="36"/>
      <c r="H30" s="36"/>
      <c r="I30" s="56"/>
      <c r="J30" s="36"/>
      <c r="K30" s="56"/>
      <c r="L30" s="36"/>
    </row>
    <row r="31" spans="1:12" x14ac:dyDescent="0.15">
      <c r="A31" s="36"/>
      <c r="B31" s="36"/>
      <c r="C31" s="37"/>
      <c r="D31" s="37"/>
      <c r="E31" s="37"/>
      <c r="F31" s="37"/>
      <c r="G31" s="36"/>
      <c r="H31" s="36"/>
      <c r="I31" s="56"/>
      <c r="J31" s="36"/>
      <c r="K31" s="56"/>
      <c r="L31" s="36"/>
    </row>
    <row r="32" spans="1:12" x14ac:dyDescent="0.15">
      <c r="A32" s="36"/>
      <c r="B32" s="36"/>
      <c r="C32" s="37"/>
      <c r="D32" s="37"/>
      <c r="E32" s="37"/>
      <c r="F32" s="37"/>
      <c r="G32" s="36"/>
      <c r="H32" s="36"/>
      <c r="I32" s="56"/>
      <c r="J32" s="36"/>
      <c r="K32" s="56"/>
      <c r="L32" s="36"/>
    </row>
    <row r="33" spans="1:12" x14ac:dyDescent="0.15">
      <c r="A33" s="36"/>
      <c r="B33" s="36"/>
      <c r="C33" s="37"/>
      <c r="D33" s="37"/>
      <c r="E33" s="37"/>
      <c r="F33" s="37"/>
      <c r="G33" s="36"/>
      <c r="H33" s="36"/>
      <c r="I33" s="56"/>
      <c r="J33" s="36"/>
      <c r="K33" s="56"/>
      <c r="L33" s="36"/>
    </row>
    <row r="34" spans="1:12" x14ac:dyDescent="0.15">
      <c r="A34" s="36"/>
      <c r="B34" s="36"/>
      <c r="C34" s="37"/>
      <c r="D34" s="37"/>
      <c r="E34" s="37"/>
      <c r="F34" s="37"/>
      <c r="G34" s="36"/>
      <c r="H34" s="36"/>
      <c r="I34" s="56"/>
      <c r="J34" s="36"/>
      <c r="K34" s="56"/>
      <c r="L34" s="36"/>
    </row>
    <row r="35" spans="1:12" x14ac:dyDescent="0.15">
      <c r="A35" s="36"/>
      <c r="B35" s="36"/>
      <c r="C35" s="37"/>
      <c r="D35" s="37"/>
      <c r="E35" s="37"/>
      <c r="F35" s="37"/>
      <c r="G35" s="36"/>
      <c r="H35" s="36"/>
      <c r="I35" s="56"/>
      <c r="J35" s="36"/>
      <c r="K35" s="56"/>
      <c r="L35" s="36"/>
    </row>
    <row r="36" spans="1:12" x14ac:dyDescent="0.15">
      <c r="A36" s="36"/>
      <c r="B36" s="36"/>
      <c r="C36" s="37"/>
      <c r="D36" s="37"/>
      <c r="E36" s="37"/>
      <c r="F36" s="37"/>
      <c r="G36" s="36"/>
      <c r="H36" s="36"/>
      <c r="I36" s="56"/>
      <c r="J36" s="36"/>
      <c r="K36" s="56"/>
      <c r="L36" s="36"/>
    </row>
    <row r="37" spans="1:12" x14ac:dyDescent="0.15">
      <c r="A37" s="36"/>
      <c r="B37" s="36"/>
      <c r="C37" s="37"/>
      <c r="D37" s="37"/>
      <c r="E37" s="37"/>
      <c r="F37" s="37"/>
      <c r="G37" s="36"/>
      <c r="H37" s="36"/>
      <c r="I37" s="56"/>
      <c r="J37" s="36"/>
      <c r="K37" s="56"/>
      <c r="L37" s="36"/>
    </row>
    <row r="38" spans="1:12" x14ac:dyDescent="0.15">
      <c r="A38" s="36"/>
      <c r="B38" s="36"/>
      <c r="C38" s="37"/>
      <c r="D38" s="37"/>
      <c r="E38" s="37"/>
      <c r="F38" s="37"/>
      <c r="G38" s="36"/>
      <c r="H38" s="36"/>
      <c r="I38" s="56"/>
      <c r="J38" s="36"/>
      <c r="K38" s="56"/>
      <c r="L38" s="36"/>
    </row>
    <row r="39" spans="1:12" x14ac:dyDescent="0.15">
      <c r="A39" s="36"/>
      <c r="B39" s="36"/>
      <c r="C39" s="37"/>
      <c r="D39" s="37"/>
      <c r="E39" s="37"/>
      <c r="F39" s="37"/>
      <c r="G39" s="36"/>
      <c r="H39" s="36"/>
      <c r="I39" s="56"/>
      <c r="J39" s="36"/>
      <c r="K39" s="56"/>
      <c r="L39" s="36"/>
    </row>
    <row r="40" spans="1:12" x14ac:dyDescent="0.15">
      <c r="A40" s="36"/>
      <c r="B40" s="36"/>
      <c r="C40" s="37"/>
      <c r="D40" s="37"/>
      <c r="E40" s="37"/>
      <c r="F40" s="37"/>
      <c r="G40" s="36"/>
      <c r="H40" s="36"/>
      <c r="I40" s="56"/>
      <c r="J40" s="36"/>
      <c r="K40" s="56"/>
      <c r="L40" s="36"/>
    </row>
    <row r="41" spans="1:12" x14ac:dyDescent="0.15">
      <c r="A41" s="36"/>
      <c r="B41" s="36"/>
      <c r="C41" s="37"/>
      <c r="D41" s="37"/>
      <c r="E41" s="37"/>
      <c r="F41" s="37"/>
      <c r="G41" s="36"/>
      <c r="H41" s="36"/>
      <c r="I41" s="56"/>
      <c r="J41" s="36"/>
      <c r="K41" s="56"/>
      <c r="L41" s="36"/>
    </row>
    <row r="42" spans="1:12" x14ac:dyDescent="0.15">
      <c r="A42" s="36"/>
      <c r="B42" s="36"/>
      <c r="C42" s="37"/>
      <c r="D42" s="37"/>
      <c r="E42" s="37"/>
      <c r="F42" s="37"/>
      <c r="G42" s="36"/>
      <c r="H42" s="36"/>
      <c r="I42" s="56"/>
      <c r="J42" s="36"/>
      <c r="K42" s="56"/>
      <c r="L42" s="36"/>
    </row>
    <row r="43" spans="1:12" x14ac:dyDescent="0.15">
      <c r="A43" s="36"/>
      <c r="B43" s="36"/>
      <c r="C43" s="37"/>
      <c r="D43" s="37"/>
      <c r="E43" s="37"/>
      <c r="F43" s="37"/>
      <c r="G43" s="36"/>
      <c r="H43" s="36"/>
      <c r="I43" s="56"/>
      <c r="J43" s="36"/>
      <c r="K43" s="56"/>
      <c r="L43" s="36"/>
    </row>
    <row r="44" spans="1:12" x14ac:dyDescent="0.15">
      <c r="A44" s="36"/>
      <c r="B44" s="36"/>
      <c r="C44" s="37"/>
      <c r="D44" s="37"/>
      <c r="E44" s="37"/>
      <c r="F44" s="37"/>
      <c r="G44" s="36"/>
      <c r="H44" s="36"/>
      <c r="I44" s="56"/>
      <c r="J44" s="36"/>
      <c r="K44" s="56"/>
      <c r="L44" s="36"/>
    </row>
    <row r="45" spans="1:12" x14ac:dyDescent="0.15">
      <c r="A45" s="36"/>
      <c r="B45" s="36"/>
      <c r="C45" s="37"/>
      <c r="D45" s="37"/>
      <c r="E45" s="37"/>
      <c r="F45" s="37"/>
      <c r="G45" s="36"/>
      <c r="H45" s="36"/>
      <c r="I45" s="56"/>
      <c r="J45" s="36"/>
      <c r="K45" s="56"/>
      <c r="L45" s="36"/>
    </row>
    <row r="46" spans="1:12" x14ac:dyDescent="0.15">
      <c r="A46" s="36"/>
      <c r="B46" s="36"/>
      <c r="C46" s="37"/>
      <c r="D46" s="37"/>
      <c r="E46" s="37"/>
      <c r="F46" s="37"/>
      <c r="G46" s="36"/>
      <c r="H46" s="36"/>
      <c r="I46" s="56"/>
      <c r="J46" s="36"/>
      <c r="K46" s="56"/>
      <c r="L46" s="36"/>
    </row>
    <row r="47" spans="1:12" x14ac:dyDescent="0.15">
      <c r="A47" s="36"/>
      <c r="B47" s="36"/>
      <c r="C47" s="37"/>
      <c r="D47" s="37"/>
      <c r="E47" s="37"/>
      <c r="F47" s="37"/>
      <c r="G47" s="36"/>
      <c r="H47" s="36"/>
      <c r="I47" s="56"/>
      <c r="J47" s="36"/>
      <c r="K47" s="56"/>
      <c r="L47" s="36"/>
    </row>
    <row r="48" spans="1:12" x14ac:dyDescent="0.15">
      <c r="A48" s="36"/>
      <c r="B48" s="36"/>
      <c r="C48" s="37"/>
      <c r="D48" s="37"/>
      <c r="E48" s="37"/>
      <c r="F48" s="37"/>
      <c r="G48" s="36"/>
      <c r="H48" s="36"/>
      <c r="I48" s="56"/>
      <c r="J48" s="36"/>
      <c r="K48" s="56"/>
      <c r="L48" s="36"/>
    </row>
    <row r="49" spans="1:12" x14ac:dyDescent="0.15">
      <c r="A49" s="36"/>
      <c r="B49" s="36"/>
      <c r="C49" s="37"/>
      <c r="D49" s="37"/>
      <c r="E49" s="37"/>
      <c r="F49" s="37"/>
      <c r="G49" s="36"/>
      <c r="H49" s="36"/>
      <c r="I49" s="56"/>
      <c r="J49" s="36"/>
      <c r="K49" s="56"/>
      <c r="L49" s="36"/>
    </row>
    <row r="50" spans="1:12" x14ac:dyDescent="0.15">
      <c r="A50" s="36"/>
      <c r="B50" s="36"/>
      <c r="C50" s="36"/>
      <c r="D50" s="36"/>
      <c r="E50" s="36"/>
      <c r="F50" s="36"/>
      <c r="G50" s="36"/>
      <c r="H50" s="36"/>
      <c r="I50" s="56"/>
      <c r="J50" s="36"/>
      <c r="K50" s="56"/>
      <c r="L50" s="36"/>
    </row>
    <row r="51" spans="1:12" x14ac:dyDescent="0.15">
      <c r="A51" s="36"/>
      <c r="B51" s="36"/>
      <c r="C51" s="36"/>
      <c r="D51" s="36"/>
      <c r="E51" s="36"/>
      <c r="F51" s="36"/>
      <c r="G51" s="36"/>
      <c r="H51" s="36"/>
      <c r="I51" s="56"/>
      <c r="J51" s="36"/>
      <c r="K51" s="56"/>
      <c r="L51" s="36"/>
    </row>
    <row r="52" spans="1:12" x14ac:dyDescent="0.15">
      <c r="A52" s="36"/>
      <c r="B52" s="36"/>
      <c r="C52" s="36"/>
      <c r="D52" s="36"/>
      <c r="E52" s="36"/>
      <c r="F52" s="36"/>
      <c r="G52" s="36"/>
      <c r="H52" s="36"/>
      <c r="I52" s="56"/>
      <c r="J52" s="36"/>
      <c r="K52" s="56"/>
      <c r="L52" s="36"/>
    </row>
    <row r="53" spans="1:12" x14ac:dyDescent="0.15">
      <c r="A53" s="36"/>
      <c r="B53" s="36"/>
      <c r="C53" s="36"/>
      <c r="D53" s="36"/>
      <c r="E53" s="36"/>
      <c r="F53" s="36"/>
      <c r="G53" s="36"/>
      <c r="H53" s="36"/>
      <c r="I53" s="56"/>
      <c r="J53" s="36"/>
      <c r="K53" s="56"/>
      <c r="L53" s="36"/>
    </row>
    <row r="54" spans="1:12" x14ac:dyDescent="0.15">
      <c r="A54" s="36"/>
      <c r="B54" s="36"/>
      <c r="C54" s="36"/>
      <c r="D54" s="36"/>
      <c r="E54" s="36"/>
      <c r="F54" s="36"/>
      <c r="G54" s="36"/>
      <c r="H54" s="36"/>
      <c r="I54" s="56"/>
      <c r="J54" s="36"/>
      <c r="K54" s="56"/>
      <c r="L54" s="36"/>
    </row>
  </sheetData>
  <mergeCells count="5">
    <mergeCell ref="C8:D8"/>
    <mergeCell ref="B3:C4"/>
    <mergeCell ref="J3:K3"/>
    <mergeCell ref="J4:K4"/>
    <mergeCell ref="C7:D7"/>
  </mergeCells>
  <phoneticPr fontId="1"/>
  <printOptions horizontalCentered="1"/>
  <pageMargins left="0.70866141732283472" right="0.70866141732283472" top="0.35433070866141736" bottom="0.35433070866141736" header="0.31496062992125984" footer="0.11811023622047245"/>
  <pageSetup paperSize="9" scale="77" fitToHeight="0" orientation="landscape" r:id="rId1"/>
  <headerFooter>
    <oddFooter>&amp;R&amp;P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3"/>
  <sheetViews>
    <sheetView tabSelected="1" workbookViewId="0">
      <selection activeCell="J4" sqref="J4:K4"/>
    </sheetView>
  </sheetViews>
  <sheetFormatPr defaultRowHeight="13.5" x14ac:dyDescent="0.15"/>
  <cols>
    <col min="1" max="1" width="3.5" style="1" customWidth="1"/>
    <col min="2" max="2" width="11.375" style="59" customWidth="1"/>
    <col min="3" max="4" width="28" style="1" customWidth="1"/>
    <col min="5" max="5" width="20.875" style="1" customWidth="1"/>
    <col min="6" max="6" width="17.375" style="1" customWidth="1"/>
    <col min="7" max="7" width="7" style="39" customWidth="1"/>
    <col min="8" max="11" width="13.875" style="39" customWidth="1"/>
    <col min="12" max="12" width="3.5" style="1" customWidth="1"/>
    <col min="13" max="16384" width="9" style="1"/>
  </cols>
  <sheetData>
    <row r="1" spans="2:12" x14ac:dyDescent="0.15">
      <c r="B1" s="1"/>
      <c r="G1" s="1"/>
      <c r="H1" s="1"/>
      <c r="I1" s="1"/>
      <c r="J1" s="1"/>
      <c r="K1" s="1"/>
    </row>
    <row r="2" spans="2:12" x14ac:dyDescent="0.15">
      <c r="B2" s="1"/>
      <c r="G2" s="1"/>
      <c r="H2" s="1"/>
      <c r="I2" s="1"/>
      <c r="J2" s="1"/>
      <c r="K2" s="1"/>
    </row>
    <row r="3" spans="2:12" x14ac:dyDescent="0.15">
      <c r="B3" s="67" t="s">
        <v>2</v>
      </c>
      <c r="C3" s="67"/>
      <c r="G3" s="1"/>
      <c r="H3" s="1"/>
      <c r="I3" s="1"/>
      <c r="J3" s="69">
        <f ca="1">TODAY()</f>
        <v>43276</v>
      </c>
      <c r="K3" s="69"/>
    </row>
    <row r="4" spans="2:12" x14ac:dyDescent="0.15">
      <c r="B4" s="68"/>
      <c r="C4" s="68"/>
      <c r="G4" s="1"/>
      <c r="H4" s="1"/>
      <c r="I4" s="2"/>
      <c r="J4" s="74"/>
      <c r="K4" s="74"/>
    </row>
    <row r="5" spans="2:12" x14ac:dyDescent="0.15">
      <c r="B5" s="1"/>
      <c r="G5" s="1"/>
      <c r="H5" s="1"/>
      <c r="I5" s="1"/>
      <c r="J5" s="1"/>
      <c r="K5" s="1"/>
    </row>
    <row r="6" spans="2:12" x14ac:dyDescent="0.15">
      <c r="B6" s="3" t="s">
        <v>1</v>
      </c>
      <c r="C6" s="40"/>
      <c r="G6" s="1"/>
      <c r="H6" s="1"/>
      <c r="I6" s="1"/>
      <c r="J6" s="1"/>
      <c r="K6" s="1"/>
    </row>
    <row r="7" spans="2:12" x14ac:dyDescent="0.15">
      <c r="B7" s="3" t="s">
        <v>0</v>
      </c>
      <c r="C7" s="71"/>
      <c r="D7" s="71"/>
      <c r="G7" s="1"/>
      <c r="H7" s="1"/>
      <c r="I7" s="1"/>
      <c r="J7" s="1"/>
      <c r="K7" s="1"/>
    </row>
    <row r="8" spans="2:12" x14ac:dyDescent="0.15">
      <c r="B8" s="1"/>
      <c r="C8" s="66"/>
      <c r="D8" s="66"/>
      <c r="G8" s="1"/>
      <c r="H8" s="1"/>
      <c r="I8" s="1"/>
      <c r="J8" s="1"/>
      <c r="K8" s="1"/>
    </row>
    <row r="9" spans="2:12" ht="27" customHeight="1" x14ac:dyDescent="0.15">
      <c r="B9" s="60"/>
      <c r="C9" s="4"/>
      <c r="D9" s="4"/>
      <c r="E9" s="4"/>
      <c r="F9" s="4"/>
      <c r="G9" s="4"/>
      <c r="H9" s="4"/>
      <c r="I9" s="4"/>
      <c r="J9" s="4"/>
      <c r="K9" s="5"/>
      <c r="L9" s="1" t="s">
        <v>19</v>
      </c>
    </row>
    <row r="10" spans="2:12" x14ac:dyDescent="0.15">
      <c r="B10" s="61"/>
      <c r="C10" s="6"/>
      <c r="D10" s="6"/>
      <c r="E10" s="6"/>
      <c r="F10" s="6"/>
      <c r="G10" s="41"/>
      <c r="H10" s="41"/>
      <c r="I10" s="47"/>
      <c r="J10" s="41"/>
      <c r="K10" s="52"/>
    </row>
    <row r="11" spans="2:12" x14ac:dyDescent="0.15">
      <c r="B11" s="62"/>
      <c r="C11" s="7"/>
      <c r="D11" s="7"/>
      <c r="E11" s="7"/>
      <c r="F11" s="7"/>
      <c r="G11" s="42"/>
      <c r="H11" s="42"/>
      <c r="I11" s="48"/>
      <c r="J11" s="42"/>
      <c r="K11" s="53"/>
    </row>
    <row r="12" spans="2:12" x14ac:dyDescent="0.15">
      <c r="B12" s="62"/>
      <c r="C12" s="7"/>
      <c r="D12" s="7"/>
      <c r="E12" s="7"/>
      <c r="F12" s="7"/>
      <c r="G12" s="42"/>
      <c r="H12" s="42"/>
      <c r="I12" s="48"/>
      <c r="J12" s="42"/>
      <c r="K12" s="53"/>
    </row>
    <row r="13" spans="2:12" x14ac:dyDescent="0.15">
      <c r="B13" s="62"/>
      <c r="C13" s="7"/>
      <c r="D13" s="7"/>
      <c r="E13" s="7"/>
      <c r="F13" s="7"/>
      <c r="G13" s="42"/>
      <c r="H13" s="42"/>
      <c r="I13" s="48"/>
      <c r="J13" s="42"/>
      <c r="K13" s="53"/>
    </row>
    <row r="14" spans="2:12" x14ac:dyDescent="0.15">
      <c r="B14" s="62"/>
      <c r="C14" s="7"/>
      <c r="D14" s="7"/>
      <c r="E14" s="7"/>
      <c r="F14" s="7"/>
      <c r="G14" s="42"/>
      <c r="H14" s="42"/>
      <c r="I14" s="48"/>
      <c r="J14" s="42"/>
      <c r="K14" s="53"/>
    </row>
    <row r="15" spans="2:12" x14ac:dyDescent="0.15">
      <c r="B15" s="62"/>
      <c r="C15" s="7"/>
      <c r="D15" s="7"/>
      <c r="E15" s="7"/>
      <c r="F15" s="7"/>
      <c r="G15" s="42"/>
      <c r="H15" s="42"/>
      <c r="I15" s="48"/>
      <c r="J15" s="42"/>
      <c r="K15" s="53"/>
    </row>
    <row r="16" spans="2:12" x14ac:dyDescent="0.15">
      <c r="B16" s="62"/>
      <c r="C16" s="7"/>
      <c r="D16" s="7"/>
      <c r="E16" s="7"/>
      <c r="F16" s="7"/>
      <c r="G16" s="42"/>
      <c r="H16" s="42"/>
      <c r="I16" s="48"/>
      <c r="J16" s="42"/>
      <c r="K16" s="53"/>
    </row>
    <row r="17" spans="2:11" x14ac:dyDescent="0.15">
      <c r="B17" s="62"/>
      <c r="C17" s="7"/>
      <c r="D17" s="7"/>
      <c r="E17" s="7"/>
      <c r="F17" s="7"/>
      <c r="G17" s="42"/>
      <c r="H17" s="42"/>
      <c r="I17" s="48"/>
      <c r="J17" s="42"/>
      <c r="K17" s="53"/>
    </row>
    <row r="18" spans="2:11" x14ac:dyDescent="0.15">
      <c r="B18" s="62"/>
      <c r="C18" s="7"/>
      <c r="D18" s="7"/>
      <c r="E18" s="7"/>
      <c r="F18" s="7"/>
      <c r="G18" s="42"/>
      <c r="H18" s="42"/>
      <c r="I18" s="48"/>
      <c r="J18" s="42"/>
      <c r="K18" s="53"/>
    </row>
    <row r="19" spans="2:11" x14ac:dyDescent="0.15">
      <c r="B19" s="62"/>
      <c r="C19" s="7"/>
      <c r="D19" s="7"/>
      <c r="E19" s="7"/>
      <c r="F19" s="7"/>
      <c r="G19" s="42"/>
      <c r="H19" s="42"/>
      <c r="I19" s="48"/>
      <c r="J19" s="42"/>
      <c r="K19" s="53"/>
    </row>
    <row r="20" spans="2:11" x14ac:dyDescent="0.15">
      <c r="B20" s="62"/>
      <c r="C20" s="7"/>
      <c r="D20" s="7"/>
      <c r="E20" s="7"/>
      <c r="F20" s="7"/>
      <c r="G20" s="42"/>
      <c r="H20" s="42"/>
      <c r="I20" s="48"/>
      <c r="J20" s="42"/>
      <c r="K20" s="53"/>
    </row>
    <row r="21" spans="2:11" x14ac:dyDescent="0.15">
      <c r="B21" s="62"/>
      <c r="C21" s="7"/>
      <c r="D21" s="7"/>
      <c r="E21" s="7"/>
      <c r="F21" s="7"/>
      <c r="G21" s="42"/>
      <c r="H21" s="42"/>
      <c r="I21" s="48"/>
      <c r="J21" s="42"/>
      <c r="K21" s="53"/>
    </row>
    <row r="22" spans="2:11" x14ac:dyDescent="0.15">
      <c r="B22" s="62"/>
      <c r="C22" s="7"/>
      <c r="D22" s="7"/>
      <c r="E22" s="7"/>
      <c r="F22" s="7"/>
      <c r="G22" s="42"/>
      <c r="H22" s="42"/>
      <c r="I22" s="48"/>
      <c r="J22" s="42"/>
      <c r="K22" s="53"/>
    </row>
    <row r="23" spans="2:11" x14ac:dyDescent="0.15">
      <c r="B23" s="62"/>
      <c r="C23" s="7"/>
      <c r="D23" s="7"/>
      <c r="E23" s="7"/>
      <c r="F23" s="7"/>
      <c r="G23" s="42"/>
      <c r="H23" s="42"/>
      <c r="I23" s="48"/>
      <c r="J23" s="42"/>
      <c r="K23" s="53"/>
    </row>
    <row r="24" spans="2:11" x14ac:dyDescent="0.15">
      <c r="B24" s="62"/>
      <c r="C24" s="7"/>
      <c r="D24" s="7"/>
      <c r="E24" s="7"/>
      <c r="F24" s="7"/>
      <c r="G24" s="42"/>
      <c r="H24" s="42"/>
      <c r="I24" s="48"/>
      <c r="J24" s="42"/>
      <c r="K24" s="53"/>
    </row>
    <row r="25" spans="2:11" x14ac:dyDescent="0.15">
      <c r="B25" s="62"/>
      <c r="C25" s="7"/>
      <c r="D25" s="7"/>
      <c r="E25" s="7"/>
      <c r="F25" s="7"/>
      <c r="G25" s="42"/>
      <c r="H25" s="42"/>
      <c r="I25" s="48"/>
      <c r="J25" s="42"/>
      <c r="K25" s="53"/>
    </row>
    <row r="26" spans="2:11" x14ac:dyDescent="0.15">
      <c r="B26" s="62"/>
      <c r="C26" s="7"/>
      <c r="D26" s="7"/>
      <c r="E26" s="7"/>
      <c r="F26" s="7"/>
      <c r="G26" s="42"/>
      <c r="H26" s="42"/>
      <c r="I26" s="48"/>
      <c r="J26" s="42"/>
      <c r="K26" s="53"/>
    </row>
    <row r="27" spans="2:11" x14ac:dyDescent="0.15">
      <c r="B27" s="62"/>
      <c r="C27" s="7"/>
      <c r="D27" s="7"/>
      <c r="E27" s="7"/>
      <c r="F27" s="7"/>
      <c r="G27" s="42"/>
      <c r="H27" s="42"/>
      <c r="I27" s="48"/>
      <c r="J27" s="42"/>
      <c r="K27" s="53"/>
    </row>
    <row r="28" spans="2:11" x14ac:dyDescent="0.15">
      <c r="B28" s="62"/>
      <c r="C28" s="7"/>
      <c r="D28" s="7"/>
      <c r="E28" s="7"/>
      <c r="F28" s="7"/>
      <c r="G28" s="42"/>
      <c r="H28" s="42"/>
      <c r="I28" s="48"/>
      <c r="J28" s="42"/>
      <c r="K28" s="53"/>
    </row>
    <row r="29" spans="2:11" x14ac:dyDescent="0.15">
      <c r="B29" s="62"/>
      <c r="C29" s="7"/>
      <c r="D29" s="7"/>
      <c r="E29" s="7"/>
      <c r="F29" s="7"/>
      <c r="G29" s="42"/>
      <c r="H29" s="42"/>
      <c r="I29" s="48"/>
      <c r="J29" s="42"/>
      <c r="K29" s="53"/>
    </row>
    <row r="30" spans="2:11" x14ac:dyDescent="0.15">
      <c r="B30" s="62"/>
      <c r="C30" s="7"/>
      <c r="D30" s="7"/>
      <c r="E30" s="7"/>
      <c r="F30" s="7"/>
      <c r="G30" s="42"/>
      <c r="H30" s="42"/>
      <c r="I30" s="48"/>
      <c r="J30" s="42"/>
      <c r="K30" s="53"/>
    </row>
    <row r="31" spans="2:11" x14ac:dyDescent="0.15">
      <c r="B31" s="62"/>
      <c r="C31" s="7"/>
      <c r="D31" s="7"/>
      <c r="E31" s="7"/>
      <c r="F31" s="7"/>
      <c r="G31" s="42"/>
      <c r="H31" s="42"/>
      <c r="I31" s="48"/>
      <c r="J31" s="42"/>
      <c r="K31" s="53"/>
    </row>
    <row r="32" spans="2:11" x14ac:dyDescent="0.15">
      <c r="B32" s="62"/>
      <c r="C32" s="7"/>
      <c r="D32" s="7"/>
      <c r="E32" s="7"/>
      <c r="F32" s="7"/>
      <c r="G32" s="42"/>
      <c r="H32" s="42"/>
      <c r="I32" s="48"/>
      <c r="J32" s="42"/>
      <c r="K32" s="53"/>
    </row>
    <row r="33" spans="2:11" x14ac:dyDescent="0.15">
      <c r="B33" s="62"/>
      <c r="C33" s="7"/>
      <c r="D33" s="7"/>
      <c r="E33" s="7"/>
      <c r="F33" s="7"/>
      <c r="G33" s="42"/>
      <c r="H33" s="42"/>
      <c r="I33" s="48"/>
      <c r="J33" s="42"/>
      <c r="K33" s="53"/>
    </row>
    <row r="34" spans="2:11" x14ac:dyDescent="0.15">
      <c r="B34" s="62"/>
      <c r="C34" s="7"/>
      <c r="D34" s="7"/>
      <c r="E34" s="7"/>
      <c r="F34" s="7"/>
      <c r="G34" s="42"/>
      <c r="H34" s="42"/>
      <c r="I34" s="48"/>
      <c r="J34" s="42"/>
      <c r="K34" s="53"/>
    </row>
    <row r="35" spans="2:11" x14ac:dyDescent="0.15">
      <c r="B35" s="62"/>
      <c r="C35" s="7"/>
      <c r="D35" s="7"/>
      <c r="E35" s="7"/>
      <c r="F35" s="7"/>
      <c r="G35" s="42"/>
      <c r="H35" s="42"/>
      <c r="I35" s="48"/>
      <c r="J35" s="42"/>
      <c r="K35" s="53"/>
    </row>
    <row r="36" spans="2:11" x14ac:dyDescent="0.15">
      <c r="B36" s="62"/>
      <c r="C36" s="7"/>
      <c r="D36" s="7"/>
      <c r="E36" s="7"/>
      <c r="F36" s="7"/>
      <c r="G36" s="42"/>
      <c r="H36" s="42"/>
      <c r="I36" s="48"/>
      <c r="J36" s="42"/>
      <c r="K36" s="53"/>
    </row>
    <row r="37" spans="2:11" x14ac:dyDescent="0.15">
      <c r="B37" s="62"/>
      <c r="C37" s="7"/>
      <c r="D37" s="7"/>
      <c r="E37" s="7"/>
      <c r="F37" s="7"/>
      <c r="G37" s="42"/>
      <c r="H37" s="42"/>
      <c r="I37" s="48"/>
      <c r="J37" s="42"/>
      <c r="K37" s="53"/>
    </row>
    <row r="38" spans="2:11" x14ac:dyDescent="0.15">
      <c r="B38" s="62"/>
      <c r="C38" s="7"/>
      <c r="D38" s="7"/>
      <c r="E38" s="7"/>
      <c r="F38" s="7"/>
      <c r="G38" s="42"/>
      <c r="H38" s="42"/>
      <c r="I38" s="48"/>
      <c r="J38" s="42"/>
      <c r="K38" s="53"/>
    </row>
    <row r="39" spans="2:11" x14ac:dyDescent="0.15">
      <c r="B39" s="62"/>
      <c r="C39" s="7"/>
      <c r="D39" s="7"/>
      <c r="E39" s="7"/>
      <c r="F39" s="7"/>
      <c r="G39" s="42"/>
      <c r="H39" s="42"/>
      <c r="I39" s="48"/>
      <c r="J39" s="42"/>
      <c r="K39" s="53"/>
    </row>
    <row r="40" spans="2:11" x14ac:dyDescent="0.15">
      <c r="B40" s="62"/>
      <c r="C40" s="7"/>
      <c r="D40" s="7"/>
      <c r="E40" s="7"/>
      <c r="F40" s="7"/>
      <c r="G40" s="42"/>
      <c r="H40" s="42"/>
      <c r="I40" s="48"/>
      <c r="J40" s="42"/>
      <c r="K40" s="53"/>
    </row>
    <row r="41" spans="2:11" x14ac:dyDescent="0.15">
      <c r="B41" s="62"/>
      <c r="C41" s="7"/>
      <c r="D41" s="7"/>
      <c r="E41" s="7"/>
      <c r="F41" s="7"/>
      <c r="G41" s="42"/>
      <c r="H41" s="42"/>
      <c r="I41" s="48"/>
      <c r="J41" s="42"/>
      <c r="K41" s="53"/>
    </row>
    <row r="42" spans="2:11" x14ac:dyDescent="0.15">
      <c r="B42" s="62"/>
      <c r="C42" s="7"/>
      <c r="D42" s="7"/>
      <c r="E42" s="7"/>
      <c r="F42" s="7"/>
      <c r="G42" s="42"/>
      <c r="H42" s="42"/>
      <c r="I42" s="48"/>
      <c r="J42" s="42"/>
      <c r="K42" s="53"/>
    </row>
    <row r="43" spans="2:11" x14ac:dyDescent="0.15">
      <c r="B43" s="62"/>
      <c r="C43" s="7"/>
      <c r="D43" s="7"/>
      <c r="E43" s="7"/>
      <c r="F43" s="7"/>
      <c r="G43" s="42"/>
      <c r="H43" s="42"/>
      <c r="I43" s="48"/>
      <c r="J43" s="42"/>
      <c r="K43" s="53"/>
    </row>
    <row r="44" spans="2:11" x14ac:dyDescent="0.15">
      <c r="B44" s="62"/>
      <c r="C44" s="7"/>
      <c r="D44" s="7"/>
      <c r="E44" s="7"/>
      <c r="F44" s="7"/>
      <c r="G44" s="42"/>
      <c r="H44" s="42"/>
      <c r="I44" s="48"/>
      <c r="J44" s="42"/>
      <c r="K44" s="53"/>
    </row>
    <row r="45" spans="2:11" x14ac:dyDescent="0.15">
      <c r="B45" s="62"/>
      <c r="C45" s="7"/>
      <c r="D45" s="7"/>
      <c r="E45" s="7"/>
      <c r="F45" s="7"/>
      <c r="G45" s="42"/>
      <c r="H45" s="42"/>
      <c r="I45" s="48"/>
      <c r="J45" s="42"/>
      <c r="K45" s="53"/>
    </row>
    <row r="46" spans="2:11" x14ac:dyDescent="0.15">
      <c r="B46" s="62"/>
      <c r="C46" s="7"/>
      <c r="D46" s="7"/>
      <c r="E46" s="7"/>
      <c r="F46" s="7"/>
      <c r="G46" s="42"/>
      <c r="H46" s="42"/>
      <c r="I46" s="48"/>
      <c r="J46" s="42"/>
      <c r="K46" s="53"/>
    </row>
    <row r="47" spans="2:11" x14ac:dyDescent="0.15">
      <c r="B47" s="62"/>
      <c r="C47" s="7"/>
      <c r="D47" s="7"/>
      <c r="E47" s="7"/>
      <c r="F47" s="7"/>
      <c r="G47" s="42"/>
      <c r="H47" s="42"/>
      <c r="I47" s="48"/>
      <c r="J47" s="42"/>
      <c r="K47" s="53"/>
    </row>
    <row r="48" spans="2:11" x14ac:dyDescent="0.15">
      <c r="B48" s="62"/>
      <c r="C48" s="7"/>
      <c r="D48" s="7"/>
      <c r="E48" s="7"/>
      <c r="F48" s="7"/>
      <c r="G48" s="42"/>
      <c r="H48" s="42"/>
      <c r="I48" s="48"/>
      <c r="J48" s="42"/>
      <c r="K48" s="53"/>
    </row>
    <row r="49" spans="2:11" ht="14.25" thickBot="1" x14ac:dyDescent="0.2">
      <c r="B49" s="63"/>
      <c r="C49" s="8"/>
      <c r="D49" s="8"/>
      <c r="E49" s="8"/>
      <c r="F49" s="8"/>
      <c r="G49" s="43"/>
      <c r="H49" s="43"/>
      <c r="I49" s="49"/>
      <c r="J49" s="43"/>
      <c r="K49" s="54"/>
    </row>
    <row r="50" spans="2:11" ht="14.25" thickTop="1" x14ac:dyDescent="0.15">
      <c r="B50" s="64"/>
      <c r="C50" s="9"/>
      <c r="D50" s="9"/>
      <c r="E50" s="9"/>
      <c r="F50" s="9"/>
      <c r="G50" s="44"/>
      <c r="H50" s="44"/>
      <c r="I50" s="50"/>
      <c r="J50" s="44"/>
      <c r="K50" s="50"/>
    </row>
    <row r="51" spans="2:11" x14ac:dyDescent="0.15">
      <c r="B51" s="65"/>
      <c r="C51" s="38"/>
      <c r="D51" s="38"/>
      <c r="E51" s="38"/>
      <c r="F51" s="38"/>
      <c r="G51" s="45"/>
      <c r="H51" s="45"/>
      <c r="I51" s="51"/>
      <c r="J51" s="45"/>
      <c r="K51" s="55"/>
    </row>
    <row r="52" spans="2:11" x14ac:dyDescent="0.15">
      <c r="G52" s="46"/>
      <c r="H52" s="46"/>
      <c r="J52" s="46"/>
    </row>
    <row r="53" spans="2:11" x14ac:dyDescent="0.15">
      <c r="G53" s="46"/>
      <c r="H53" s="46"/>
      <c r="J53" s="46"/>
    </row>
  </sheetData>
  <mergeCells count="5">
    <mergeCell ref="B3:C4"/>
    <mergeCell ref="J3:K3"/>
    <mergeCell ref="J4:K4"/>
    <mergeCell ref="C7:D7"/>
    <mergeCell ref="C8:D8"/>
  </mergeCells>
  <phoneticPr fontId="1"/>
  <printOptions horizontalCentered="1"/>
  <pageMargins left="0.70866141732283472" right="0.70866141732283472" top="0.35433070866141736" bottom="0.35433070866141736" header="0.31496062992125984" footer="0.11811023622047245"/>
  <pageSetup paperSize="9" scale="77" fitToHeight="0" orientation="landscape" verticalDpi="0" r:id="rId1"/>
  <headerFooter>
    <oddFooter>&amp;R&amp;P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K122"/>
  <sheetViews>
    <sheetView workbookViewId="0">
      <selection activeCell="I2" sqref="I2"/>
    </sheetView>
  </sheetViews>
  <sheetFormatPr defaultRowHeight="13.5" x14ac:dyDescent="0.15"/>
  <cols>
    <col min="1" max="1" width="3.5" style="1" customWidth="1"/>
    <col min="2" max="2" width="11.375" style="1" customWidth="1"/>
    <col min="3" max="4" width="28" style="1" customWidth="1"/>
    <col min="5" max="5" width="20.875" style="1" customWidth="1"/>
    <col min="6" max="6" width="17.375" style="1" customWidth="1"/>
    <col min="7" max="7" width="7" style="1" customWidth="1"/>
    <col min="8" max="11" width="13.875" style="1" customWidth="1"/>
    <col min="12" max="12" width="3.5" style="1" customWidth="1"/>
    <col min="13" max="16384" width="9" style="1"/>
  </cols>
  <sheetData>
    <row r="3" spans="2:11" x14ac:dyDescent="0.15">
      <c r="B3" s="67" t="s">
        <v>2</v>
      </c>
      <c r="C3" s="67"/>
      <c r="J3" s="72">
        <f ca="1">TODAY()</f>
        <v>43276</v>
      </c>
      <c r="K3" s="73"/>
    </row>
    <row r="4" spans="2:11" x14ac:dyDescent="0.15">
      <c r="B4" s="68"/>
      <c r="C4" s="68"/>
      <c r="I4" s="2" t="s">
        <v>3</v>
      </c>
      <c r="J4" s="70" t="s">
        <v>4</v>
      </c>
      <c r="K4" s="70"/>
    </row>
    <row r="6" spans="2:11" x14ac:dyDescent="0.15">
      <c r="B6" s="3" t="s">
        <v>5</v>
      </c>
      <c r="C6" s="1" t="s">
        <v>6</v>
      </c>
    </row>
    <row r="7" spans="2:11" x14ac:dyDescent="0.15">
      <c r="B7" s="3" t="s">
        <v>7</v>
      </c>
      <c r="C7" s="1" t="s">
        <v>8</v>
      </c>
    </row>
    <row r="9" spans="2:11" ht="27" customHeight="1" x14ac:dyDescent="0.15">
      <c r="B9" s="23" t="s">
        <v>9</v>
      </c>
      <c r="C9" s="24" t="s">
        <v>10</v>
      </c>
      <c r="D9" s="24" t="s">
        <v>11</v>
      </c>
      <c r="E9" s="24" t="s">
        <v>12</v>
      </c>
      <c r="F9" s="24" t="s">
        <v>13</v>
      </c>
      <c r="G9" s="24" t="s">
        <v>14</v>
      </c>
      <c r="H9" s="24" t="s">
        <v>15</v>
      </c>
      <c r="I9" s="24" t="s">
        <v>16</v>
      </c>
      <c r="J9" s="24" t="s">
        <v>17</v>
      </c>
      <c r="K9" s="25" t="s">
        <v>18</v>
      </c>
    </row>
    <row r="10" spans="2:11" x14ac:dyDescent="0.15">
      <c r="B10" s="26">
        <v>1</v>
      </c>
      <c r="C10" s="27" t="str">
        <f>"ボックス（IDEC)"</f>
        <v>ボックス（IDEC)</v>
      </c>
      <c r="D10" s="27" t="str">
        <f>"AGA211Y"</f>
        <v>AGA211Y</v>
      </c>
      <c r="E10" s="27"/>
      <c r="F10" s="27" t="str">
        <f>"IDEC"</f>
        <v>IDEC</v>
      </c>
      <c r="G10" s="27">
        <v>1</v>
      </c>
      <c r="H10" s="27">
        <v>3925</v>
      </c>
      <c r="I10" s="27">
        <v>3925</v>
      </c>
      <c r="J10" s="27">
        <v>3140</v>
      </c>
      <c r="K10" s="27">
        <v>3140</v>
      </c>
    </row>
    <row r="11" spans="2:11" ht="14.25" thickBot="1" x14ac:dyDescent="0.2">
      <c r="B11" s="32"/>
      <c r="C11" s="33"/>
      <c r="D11" s="33" t="str">
        <f>"ボックス"</f>
        <v>ボックス</v>
      </c>
      <c r="E11" s="33"/>
      <c r="F11" s="33" t="str">
        <f>"小計"</f>
        <v>小計</v>
      </c>
      <c r="G11" s="34"/>
      <c r="H11" s="34"/>
      <c r="I11" s="34" t="str">
        <f>"3925.00"</f>
        <v>3925.00</v>
      </c>
      <c r="J11" s="34"/>
      <c r="K11" s="35" t="str">
        <f>"3140.00"</f>
        <v>3140.00</v>
      </c>
    </row>
    <row r="12" spans="2:11" ht="14.25" thickTop="1" x14ac:dyDescent="0.15">
      <c r="B12" s="28"/>
      <c r="C12" s="29"/>
      <c r="D12" s="29"/>
      <c r="E12" s="29"/>
      <c r="F12" s="29"/>
      <c r="G12" s="30"/>
      <c r="H12" s="30"/>
      <c r="I12" s="30"/>
      <c r="J12" s="30"/>
      <c r="K12" s="31"/>
    </row>
    <row r="13" spans="2:11" x14ac:dyDescent="0.15">
      <c r="B13" s="18">
        <v>2</v>
      </c>
      <c r="C13" s="19" t="str">
        <f>"漏電遮断器（新）"</f>
        <v>漏電遮断器（新）</v>
      </c>
      <c r="D13" s="19" t="str">
        <f>"NC1V-2100-5AA"</f>
        <v>NC1V-2100-5AA</v>
      </c>
      <c r="E13" s="19"/>
      <c r="F13" s="19" t="str">
        <f>"IDEC"</f>
        <v>IDEC</v>
      </c>
      <c r="G13" s="19">
        <v>1</v>
      </c>
      <c r="H13" s="19">
        <v>1588</v>
      </c>
      <c r="I13" s="19">
        <v>1588</v>
      </c>
      <c r="J13" s="19">
        <v>1270</v>
      </c>
      <c r="K13" s="19">
        <v>1270</v>
      </c>
    </row>
    <row r="14" spans="2:11" x14ac:dyDescent="0.15">
      <c r="B14" s="18">
        <v>3</v>
      </c>
      <c r="C14" s="19" t="str">
        <f>"配線用遮断器（新）"</f>
        <v>配線用遮断器（新）</v>
      </c>
      <c r="D14" s="19" t="str">
        <f>"NV125-CV 3P 100Aｲｶ"</f>
        <v>NV125-CV 3P 100Aｲｶ</v>
      </c>
      <c r="E14" s="19"/>
      <c r="F14" s="19" t="str">
        <f>"三菱電機"</f>
        <v>三菱電機</v>
      </c>
      <c r="G14" s="19">
        <v>1</v>
      </c>
      <c r="H14" s="19">
        <v>14113</v>
      </c>
      <c r="I14" s="19">
        <v>14113</v>
      </c>
      <c r="J14" s="19">
        <v>11290</v>
      </c>
      <c r="K14" s="19">
        <v>11290</v>
      </c>
    </row>
    <row r="15" spans="2:11" x14ac:dyDescent="0.15">
      <c r="B15" s="18">
        <v>4</v>
      </c>
      <c r="C15" s="19" t="str">
        <f>"配線用遮断器（新）"</f>
        <v>配線用遮断器（新）</v>
      </c>
      <c r="D15" s="19" t="str">
        <f>"NV30-FA 3P.TCS-05FA3"</f>
        <v>NV30-FA 3P.TCS-05FA3</v>
      </c>
      <c r="E15" s="19"/>
      <c r="F15" s="19" t="str">
        <f>"三菱電機"</f>
        <v>三菱電機</v>
      </c>
      <c r="G15" s="19">
        <v>1</v>
      </c>
      <c r="H15" s="19">
        <v>6641</v>
      </c>
      <c r="I15" s="19">
        <v>6641</v>
      </c>
      <c r="J15" s="19">
        <v>5313</v>
      </c>
      <c r="K15" s="19">
        <v>5313</v>
      </c>
    </row>
    <row r="16" spans="2:11" x14ac:dyDescent="0.15">
      <c r="B16" s="18">
        <v>5</v>
      </c>
      <c r="C16" s="19" t="str">
        <f>"配線用遮断器（新）"</f>
        <v>配線用遮断器（新）</v>
      </c>
      <c r="D16" s="19" t="str">
        <f>"NV30-FA 3P.TCS-05FA3"</f>
        <v>NV30-FA 3P.TCS-05FA3</v>
      </c>
      <c r="E16" s="19"/>
      <c r="F16" s="19" t="str">
        <f>"三菱電機"</f>
        <v>三菱電機</v>
      </c>
      <c r="G16" s="19">
        <v>1</v>
      </c>
      <c r="H16" s="19">
        <v>6641</v>
      </c>
      <c r="I16" s="19">
        <v>6641</v>
      </c>
      <c r="J16" s="19">
        <v>5313</v>
      </c>
      <c r="K16" s="19">
        <v>5313</v>
      </c>
    </row>
    <row r="17" spans="2:11" x14ac:dyDescent="0.15">
      <c r="B17" s="18">
        <v>6</v>
      </c>
      <c r="C17" s="19" t="str">
        <f>"モ－タ－遮断器"</f>
        <v>モ－タ－遮断器</v>
      </c>
      <c r="D17" s="19" t="str">
        <f>"NF30-FA 2P.TCS-05FA2"</f>
        <v>NF30-FA 2P.TCS-05FA2</v>
      </c>
      <c r="E17" s="19"/>
      <c r="F17" s="19" t="str">
        <f>"三菱電機"</f>
        <v>三菱電機</v>
      </c>
      <c r="G17" s="19">
        <v>1</v>
      </c>
      <c r="H17" s="19">
        <v>1816</v>
      </c>
      <c r="I17" s="19">
        <v>1816</v>
      </c>
      <c r="J17" s="19">
        <v>1453</v>
      </c>
      <c r="K17" s="19">
        <v>1453</v>
      </c>
    </row>
    <row r="18" spans="2:11" ht="14.25" thickBot="1" x14ac:dyDescent="0.2">
      <c r="B18" s="20">
        <v>7</v>
      </c>
      <c r="C18" s="21" t="str">
        <f>"モ－タ－遮断器"</f>
        <v>モ－タ－遮断器</v>
      </c>
      <c r="D18" s="21" t="str">
        <f>"NF30-FA 2P.TCS-05FA2"</f>
        <v>NF30-FA 2P.TCS-05FA2</v>
      </c>
      <c r="E18" s="21"/>
      <c r="F18" s="21" t="str">
        <f>"三菱電機"</f>
        <v>三菱電機</v>
      </c>
      <c r="G18" s="21">
        <v>1</v>
      </c>
      <c r="H18" s="21">
        <v>1816</v>
      </c>
      <c r="I18" s="21">
        <v>1816</v>
      </c>
      <c r="J18" s="21">
        <v>1453</v>
      </c>
      <c r="K18" s="21">
        <v>1453</v>
      </c>
    </row>
    <row r="19" spans="2:11" ht="14.25" thickTop="1" x14ac:dyDescent="0.15">
      <c r="B19" s="10"/>
      <c r="C19" s="11"/>
      <c r="D19" s="11" t="str">
        <f>"ＮＦＢ・ＥＬＢ・ＥＬＲ・ＺＣＴ・ＣＰ"</f>
        <v>ＮＦＢ・ＥＬＢ・ＥＬＲ・ＺＣＴ・ＣＰ</v>
      </c>
      <c r="E19" s="11"/>
      <c r="F19" s="11" t="str">
        <f>"小計"</f>
        <v>小計</v>
      </c>
      <c r="G19" s="12"/>
      <c r="H19" s="12"/>
      <c r="I19" s="12" t="str">
        <f>"32615.00"</f>
        <v>32615.00</v>
      </c>
      <c r="J19" s="12"/>
      <c r="K19" s="13" t="str">
        <f>"26092.00"</f>
        <v>26092.00</v>
      </c>
    </row>
    <row r="20" spans="2:11" x14ac:dyDescent="0.15">
      <c r="B20" s="14"/>
      <c r="C20" s="15"/>
      <c r="D20" s="15"/>
      <c r="E20" s="15"/>
      <c r="F20" s="15"/>
      <c r="G20" s="16"/>
      <c r="H20" s="16"/>
      <c r="I20" s="16"/>
      <c r="J20" s="16"/>
      <c r="K20" s="17"/>
    </row>
    <row r="21" spans="2:11" x14ac:dyDescent="0.15">
      <c r="B21" s="18">
        <v>8</v>
      </c>
      <c r="C21" s="19" t="str">
        <f>"サ－マルアタッチメント"</f>
        <v>サ－マルアタッチメント</v>
      </c>
      <c r="D21" s="19" t="str">
        <f>"TH-T18BC(0.12A～11A)"</f>
        <v>TH-T18BC(0.12A～11A)</v>
      </c>
      <c r="E21" s="19"/>
      <c r="F21" s="19" t="str">
        <f>"三菱電機"</f>
        <v>三菱電機</v>
      </c>
      <c r="G21" s="19">
        <v>6</v>
      </c>
      <c r="H21" s="19">
        <v>2100</v>
      </c>
      <c r="I21" s="19">
        <v>12600</v>
      </c>
      <c r="J21" s="19">
        <v>1680</v>
      </c>
      <c r="K21" s="19">
        <v>10080</v>
      </c>
    </row>
    <row r="22" spans="2:11" x14ac:dyDescent="0.15">
      <c r="B22" s="18">
        <v>9</v>
      </c>
      <c r="C22" s="19" t="str">
        <f>"可逆ユニット"</f>
        <v>可逆ユニット</v>
      </c>
      <c r="D22" s="19" t="str">
        <f>"UT-HZ18"</f>
        <v>UT-HZ18</v>
      </c>
      <c r="E22" s="19"/>
      <c r="F22" s="19" t="str">
        <f>"三菱電機"</f>
        <v>三菱電機</v>
      </c>
      <c r="G22" s="19">
        <v>6</v>
      </c>
      <c r="H22" s="19">
        <v>763</v>
      </c>
      <c r="I22" s="19">
        <v>4578</v>
      </c>
      <c r="J22" s="19">
        <v>610</v>
      </c>
      <c r="K22" s="19">
        <v>3660</v>
      </c>
    </row>
    <row r="23" spans="2:11" ht="14.25" thickBot="1" x14ac:dyDescent="0.2">
      <c r="B23" s="20">
        <v>10</v>
      </c>
      <c r="C23" s="21" t="str">
        <f>"切替開閉器"</f>
        <v>切替開閉器</v>
      </c>
      <c r="D23" s="21" t="str">
        <f>"S-T20BC"</f>
        <v>S-T20BC</v>
      </c>
      <c r="E23" s="21"/>
      <c r="F23" s="21" t="str">
        <f>"三菱電機"</f>
        <v>三菱電機</v>
      </c>
      <c r="G23" s="21">
        <v>1</v>
      </c>
      <c r="H23" s="21">
        <v>2413</v>
      </c>
      <c r="I23" s="21">
        <v>2413</v>
      </c>
      <c r="J23" s="21">
        <v>1930</v>
      </c>
      <c r="K23" s="21">
        <v>1930</v>
      </c>
    </row>
    <row r="24" spans="2:11" ht="14.25" thickTop="1" x14ac:dyDescent="0.15">
      <c r="B24" s="10"/>
      <c r="C24" s="11"/>
      <c r="D24" s="11" t="str">
        <f>"マグネット・サーマル・3Ｅリレー"</f>
        <v>マグネット・サーマル・3Ｅリレー</v>
      </c>
      <c r="E24" s="11"/>
      <c r="F24" s="11" t="str">
        <f>"小計"</f>
        <v>小計</v>
      </c>
      <c r="G24" s="12"/>
      <c r="H24" s="12"/>
      <c r="I24" s="12" t="str">
        <f>"5276.00"</f>
        <v>5276.00</v>
      </c>
      <c r="J24" s="12"/>
      <c r="K24" s="13" t="str">
        <f>"4220.00"</f>
        <v>4220.00</v>
      </c>
    </row>
    <row r="25" spans="2:11" x14ac:dyDescent="0.15">
      <c r="B25" s="14"/>
      <c r="C25" s="15"/>
      <c r="D25" s="15"/>
      <c r="E25" s="15"/>
      <c r="F25" s="15"/>
      <c r="G25" s="16"/>
      <c r="H25" s="16"/>
      <c r="I25" s="16"/>
      <c r="J25" s="16"/>
      <c r="K25" s="17"/>
    </row>
    <row r="26" spans="2:11" x14ac:dyDescent="0.15">
      <c r="B26" s="18">
        <v>11</v>
      </c>
      <c r="C26" s="19" t="str">
        <f>"インバータ　FR-E700"</f>
        <v>インバータ　FR-E700</v>
      </c>
      <c r="D26" s="19" t="str">
        <f>"FR-D720-0.1K"</f>
        <v>FR-D720-0.1K</v>
      </c>
      <c r="E26" s="19"/>
      <c r="F26" s="19" t="str">
        <f>"三菱電機"</f>
        <v>三菱電機</v>
      </c>
      <c r="G26" s="19">
        <v>1</v>
      </c>
      <c r="H26" s="19">
        <v>10750</v>
      </c>
      <c r="I26" s="19">
        <v>10750</v>
      </c>
      <c r="J26" s="19">
        <v>8600</v>
      </c>
      <c r="K26" s="19">
        <v>8600</v>
      </c>
    </row>
    <row r="27" spans="2:11" ht="14.25" thickBot="1" x14ac:dyDescent="0.2">
      <c r="B27" s="20">
        <v>12</v>
      </c>
      <c r="C27" s="21" t="str">
        <f>"インバータ　FR-E700"</f>
        <v>インバータ　FR-E700</v>
      </c>
      <c r="D27" s="21" t="str">
        <f>"FR-D720-15K"</f>
        <v>FR-D720-15K</v>
      </c>
      <c r="E27" s="21"/>
      <c r="F27" s="21" t="str">
        <f>"三菱電機"</f>
        <v>三菱電機</v>
      </c>
      <c r="G27" s="21">
        <v>1</v>
      </c>
      <c r="H27" s="21">
        <v>91850</v>
      </c>
      <c r="I27" s="21">
        <v>91850</v>
      </c>
      <c r="J27" s="21">
        <v>73480</v>
      </c>
      <c r="K27" s="21">
        <v>73480</v>
      </c>
    </row>
    <row r="28" spans="2:11" ht="14.25" thickTop="1" x14ac:dyDescent="0.15">
      <c r="B28" s="10"/>
      <c r="C28" s="11"/>
      <c r="D28" s="11" t="str">
        <f>"インバ－タ"</f>
        <v>インバ－タ</v>
      </c>
      <c r="E28" s="11"/>
      <c r="F28" s="11" t="str">
        <f>"小計"</f>
        <v>小計</v>
      </c>
      <c r="G28" s="12"/>
      <c r="H28" s="12"/>
      <c r="I28" s="12" t="str">
        <f>"102600.00"</f>
        <v>102600.00</v>
      </c>
      <c r="J28" s="12"/>
      <c r="K28" s="13" t="str">
        <f>"82080.00"</f>
        <v>82080.00</v>
      </c>
    </row>
    <row r="29" spans="2:11" x14ac:dyDescent="0.15">
      <c r="B29" s="14"/>
      <c r="C29" s="15"/>
      <c r="D29" s="15"/>
      <c r="E29" s="15"/>
      <c r="F29" s="15"/>
      <c r="G29" s="16"/>
      <c r="H29" s="16"/>
      <c r="I29" s="16"/>
      <c r="J29" s="16"/>
      <c r="K29" s="17"/>
    </row>
    <row r="30" spans="2:11" ht="14.25" thickBot="1" x14ac:dyDescent="0.2">
      <c r="B30" s="20">
        <v>13</v>
      </c>
      <c r="C30" s="21" t="str">
        <f>"インバータ用オプション（東芝）"</f>
        <v>インバータ用オプション（東芝）</v>
      </c>
      <c r="D30" s="21" t="str">
        <f>"BAF-111S"&amp;CHAR(44)&amp;"ｴﾚﾒﾝﾄ×2"</f>
        <v>BAF-111S,ｴﾚﾒﾝﾄ×2</v>
      </c>
      <c r="E30" s="21"/>
      <c r="F30" s="21" t="str">
        <f>"IDEC"</f>
        <v>IDEC</v>
      </c>
      <c r="G30" s="21">
        <v>1</v>
      </c>
      <c r="H30" s="21">
        <v>306</v>
      </c>
      <c r="I30" s="21">
        <v>306</v>
      </c>
      <c r="J30" s="21">
        <v>245</v>
      </c>
      <c r="K30" s="21">
        <v>245</v>
      </c>
    </row>
    <row r="31" spans="2:11" ht="14.25" thickTop="1" x14ac:dyDescent="0.15">
      <c r="B31" s="10"/>
      <c r="C31" s="11"/>
      <c r="D31" s="11" t="str">
        <f>"低圧ヒューズ"</f>
        <v>低圧ヒューズ</v>
      </c>
      <c r="E31" s="11"/>
      <c r="F31" s="11" t="str">
        <f>"小計"</f>
        <v>小計</v>
      </c>
      <c r="G31" s="12"/>
      <c r="H31" s="12"/>
      <c r="I31" s="12" t="str">
        <f>"306.00"</f>
        <v>306.00</v>
      </c>
      <c r="J31" s="12"/>
      <c r="K31" s="13" t="str">
        <f>"245.00"</f>
        <v>245.00</v>
      </c>
    </row>
    <row r="32" spans="2:11" x14ac:dyDescent="0.15">
      <c r="B32" s="14"/>
      <c r="C32" s="15"/>
      <c r="D32" s="15"/>
      <c r="E32" s="15"/>
      <c r="F32" s="15"/>
      <c r="G32" s="16"/>
      <c r="H32" s="16"/>
      <c r="I32" s="16"/>
      <c r="J32" s="16"/>
      <c r="K32" s="17"/>
    </row>
    <row r="33" spans="2:11" ht="14.25" thickBot="1" x14ac:dyDescent="0.2">
      <c r="B33" s="20">
        <v>14</v>
      </c>
      <c r="C33" s="21" t="str">
        <f>"パトライト"</f>
        <v>パトライト</v>
      </c>
      <c r="D33" s="21" t="str">
        <f>"LCE-302AFBK-RYG"</f>
        <v>LCE-302AFBK-RYG</v>
      </c>
      <c r="E33" s="21"/>
      <c r="F33" s="21" t="str">
        <f>"ﾊﾟﾄﾗｲﾄ"</f>
        <v>ﾊﾟﾄﾗｲﾄ</v>
      </c>
      <c r="G33" s="21">
        <v>1</v>
      </c>
      <c r="H33" s="21">
        <v>11388</v>
      </c>
      <c r="I33" s="21">
        <v>11388</v>
      </c>
      <c r="J33" s="21">
        <v>9110</v>
      </c>
      <c r="K33" s="21">
        <v>9110</v>
      </c>
    </row>
    <row r="34" spans="2:11" ht="14.25" thickTop="1" x14ac:dyDescent="0.15">
      <c r="B34" s="18"/>
      <c r="C34" s="19"/>
      <c r="D34" s="19" t="str">
        <f>"パトライト"</f>
        <v>パトライト</v>
      </c>
      <c r="E34" s="19"/>
      <c r="F34" s="19" t="str">
        <f>"小計"</f>
        <v>小計</v>
      </c>
      <c r="G34" s="19"/>
      <c r="H34" s="19"/>
      <c r="I34" s="19" t="str">
        <f>"11388.00"</f>
        <v>11388.00</v>
      </c>
      <c r="J34" s="19"/>
      <c r="K34" s="19" t="str">
        <f>"9110.00"</f>
        <v>9110.00</v>
      </c>
    </row>
    <row r="35" spans="2:11" x14ac:dyDescent="0.15">
      <c r="B35" s="22"/>
    </row>
    <row r="36" spans="2:11" x14ac:dyDescent="0.15">
      <c r="B36" s="18">
        <v>15</v>
      </c>
      <c r="C36" s="19" t="str">
        <f>"押釦スイッチ"</f>
        <v>押釦スイッチ</v>
      </c>
      <c r="D36" s="19" t="str">
        <f>"ASN 111"</f>
        <v>ASN 111</v>
      </c>
      <c r="E36" s="19"/>
      <c r="F36" s="19" t="str">
        <f>"IDEC"</f>
        <v>IDEC</v>
      </c>
      <c r="G36" s="19">
        <v>1</v>
      </c>
      <c r="H36" s="19">
        <v>756</v>
      </c>
      <c r="I36" s="19">
        <v>756</v>
      </c>
      <c r="J36" s="19">
        <v>605</v>
      </c>
      <c r="K36" s="19">
        <v>605</v>
      </c>
    </row>
    <row r="37" spans="2:11" x14ac:dyDescent="0.15">
      <c r="B37" s="18">
        <v>16</v>
      </c>
      <c r="C37" s="19" t="str">
        <f>"リミットスイッチ"</f>
        <v>リミットスイッチ</v>
      </c>
      <c r="D37" s="19" t="str">
        <f>"C1P-304Y"</f>
        <v>C1P-304Y</v>
      </c>
      <c r="E37" s="19"/>
      <c r="F37" s="19" t="str">
        <f>"SUS"</f>
        <v>SUS</v>
      </c>
      <c r="G37" s="19">
        <v>2</v>
      </c>
      <c r="H37" s="19">
        <v>610</v>
      </c>
      <c r="I37" s="19">
        <v>1220</v>
      </c>
      <c r="J37" s="19">
        <v>488</v>
      </c>
      <c r="K37" s="19">
        <v>976</v>
      </c>
    </row>
    <row r="38" spans="2:11" x14ac:dyDescent="0.15">
      <c r="B38" s="18">
        <v>17</v>
      </c>
      <c r="C38" s="19" t="str">
        <f>"カムスイッチ"</f>
        <v>カムスイッチ</v>
      </c>
      <c r="D38" s="19" t="str">
        <f>"M-2011"</f>
        <v>M-2011</v>
      </c>
      <c r="E38" s="19"/>
      <c r="F38" s="19" t="str">
        <f>"NKK"</f>
        <v>NKK</v>
      </c>
      <c r="G38" s="19">
        <v>6</v>
      </c>
      <c r="H38" s="19">
        <v>213</v>
      </c>
      <c r="I38" s="19">
        <v>1278</v>
      </c>
      <c r="J38" s="19">
        <v>170</v>
      </c>
      <c r="K38" s="19">
        <v>1020</v>
      </c>
    </row>
    <row r="39" spans="2:11" x14ac:dyDescent="0.15">
      <c r="B39" s="18">
        <v>18</v>
      </c>
      <c r="C39" s="19" t="str">
        <f>"角形表示灯"</f>
        <v>角形表示灯</v>
      </c>
      <c r="D39" s="19" t="str">
        <f>"AVN 301N"</f>
        <v>AVN 301N</v>
      </c>
      <c r="E39" s="19"/>
      <c r="F39" s="19" t="str">
        <f>"IDEC"</f>
        <v>IDEC</v>
      </c>
      <c r="G39" s="19">
        <v>2</v>
      </c>
      <c r="H39" s="19">
        <v>1788</v>
      </c>
      <c r="I39" s="19">
        <v>3576</v>
      </c>
      <c r="J39" s="19">
        <v>1430</v>
      </c>
      <c r="K39" s="19">
        <v>2860</v>
      </c>
    </row>
    <row r="40" spans="2:11" ht="14.25" thickBot="1" x14ac:dyDescent="0.2">
      <c r="B40" s="20">
        <v>19</v>
      </c>
      <c r="C40" s="21" t="str">
        <f>"角形表示灯"</f>
        <v>角形表示灯</v>
      </c>
      <c r="D40" s="21" t="str">
        <f>"AR22FOM-10E3R"</f>
        <v>AR22FOM-10E3R</v>
      </c>
      <c r="E40" s="21"/>
      <c r="F40" s="21" t="str">
        <f>"富士電機"</f>
        <v>富士電機</v>
      </c>
      <c r="G40" s="21">
        <v>1</v>
      </c>
      <c r="H40" s="21">
        <v>1131</v>
      </c>
      <c r="I40" s="21">
        <v>1131</v>
      </c>
      <c r="J40" s="21">
        <v>905</v>
      </c>
      <c r="K40" s="21">
        <v>905</v>
      </c>
    </row>
    <row r="41" spans="2:11" ht="14.25" thickTop="1" x14ac:dyDescent="0.15">
      <c r="B41" s="22"/>
      <c r="D41" s="1" t="str">
        <f>"スイッチ・カムスイッチ・パイロット"</f>
        <v>スイッチ・カムスイッチ・パイロット</v>
      </c>
      <c r="F41" s="1" t="str">
        <f>"小計"</f>
        <v>小計</v>
      </c>
      <c r="I41" s="1" t="str">
        <f>"4498.00"</f>
        <v>4498.00</v>
      </c>
      <c r="K41" s="1" t="str">
        <f>"3598.00"</f>
        <v>3598.00</v>
      </c>
    </row>
    <row r="42" spans="2:11" x14ac:dyDescent="0.15">
      <c r="B42" s="22"/>
    </row>
    <row r="43" spans="2:11" ht="14.25" thickBot="1" x14ac:dyDescent="0.2">
      <c r="B43" s="20">
        <v>20</v>
      </c>
      <c r="C43" s="21" t="str">
        <f>"変圧器(6)　FRA"</f>
        <v>変圧器(6)　FRA</v>
      </c>
      <c r="D43" s="21" t="str">
        <f>"FRB-200E"</f>
        <v>FRB-200E</v>
      </c>
      <c r="E43" s="21"/>
      <c r="F43" s="21" t="str">
        <f>"相原電機"</f>
        <v>相原電機</v>
      </c>
      <c r="G43" s="21">
        <v>1</v>
      </c>
      <c r="H43" s="21">
        <v>5988</v>
      </c>
      <c r="I43" s="21">
        <v>5988</v>
      </c>
      <c r="J43" s="21">
        <v>4790</v>
      </c>
      <c r="K43" s="21">
        <v>4790</v>
      </c>
    </row>
    <row r="44" spans="2:11" ht="14.25" thickTop="1" x14ac:dyDescent="0.15">
      <c r="B44" s="22"/>
      <c r="D44" s="1" t="str">
        <f>"低圧始動器：低圧制御変圧器"</f>
        <v>低圧始動器：低圧制御変圧器</v>
      </c>
      <c r="F44" s="1" t="str">
        <f>"小計"</f>
        <v>小計</v>
      </c>
      <c r="I44" s="1" t="str">
        <f>"5988.00"</f>
        <v>5988.00</v>
      </c>
      <c r="K44" s="1" t="str">
        <f>"4790.00"</f>
        <v>4790.00</v>
      </c>
    </row>
    <row r="45" spans="2:11" x14ac:dyDescent="0.15">
      <c r="B45" s="22"/>
    </row>
    <row r="46" spans="2:11" x14ac:dyDescent="0.15">
      <c r="B46" s="18">
        <v>21</v>
      </c>
      <c r="C46" s="19" t="str">
        <f>"制御用機器"</f>
        <v>制御用機器</v>
      </c>
      <c r="D46" s="19" t="str">
        <f>"MY4N(AC)"&amp;CHAR(44)&amp;"PYF14A"&amp;CHAR(44)&amp;"PYCA1"</f>
        <v>MY4N(AC),PYF14A,PYCA1</v>
      </c>
      <c r="E46" s="19"/>
      <c r="F46" s="19" t="str">
        <f>"ｵﾑﾛﾝ"</f>
        <v>ｵﾑﾛﾝ</v>
      </c>
      <c r="G46" s="19">
        <v>9</v>
      </c>
      <c r="H46" s="19">
        <v>1415</v>
      </c>
      <c r="I46" s="19">
        <v>12735</v>
      </c>
      <c r="J46" s="19">
        <v>1132</v>
      </c>
      <c r="K46" s="19">
        <v>10188</v>
      </c>
    </row>
    <row r="47" spans="2:11" ht="14.25" thickBot="1" x14ac:dyDescent="0.2">
      <c r="B47" s="20">
        <v>22</v>
      </c>
      <c r="C47" s="21" t="str">
        <f>"制御用機器"</f>
        <v>制御用機器</v>
      </c>
      <c r="D47" s="21" t="str">
        <f>"G2R-2-SN P2RF-08"</f>
        <v>G2R-2-SN P2RF-08</v>
      </c>
      <c r="E47" s="21"/>
      <c r="F47" s="21" t="str">
        <f>"ｵﾑﾛﾝ"</f>
        <v>ｵﾑﾛﾝ</v>
      </c>
      <c r="G47" s="21">
        <v>20</v>
      </c>
      <c r="H47" s="21">
        <v>1088</v>
      </c>
      <c r="I47" s="21">
        <v>21760</v>
      </c>
      <c r="J47" s="21">
        <v>870</v>
      </c>
      <c r="K47" s="21">
        <v>17400</v>
      </c>
    </row>
    <row r="48" spans="2:11" ht="14.25" thickTop="1" x14ac:dyDescent="0.15">
      <c r="B48" s="22"/>
      <c r="D48" s="1" t="str">
        <f>"補助リレ－・液面リレ－・検出器"</f>
        <v>補助リレ－・液面リレ－・検出器</v>
      </c>
      <c r="F48" s="1" t="str">
        <f>"小計"</f>
        <v>小計</v>
      </c>
      <c r="I48" s="1" t="str">
        <f>"2503.00"</f>
        <v>2503.00</v>
      </c>
      <c r="K48" s="1" t="str">
        <f>"2002.00"</f>
        <v>2002.00</v>
      </c>
    </row>
    <row r="49" spans="2:11" x14ac:dyDescent="0.15">
      <c r="B49" s="22"/>
    </row>
    <row r="50" spans="2:11" ht="14.25" thickBot="1" x14ac:dyDescent="0.2">
      <c r="B50" s="20">
        <v>23</v>
      </c>
      <c r="C50" s="21" t="str">
        <f>"バーニアダイヤル"</f>
        <v>バーニアダイヤル</v>
      </c>
      <c r="D50" s="21" t="str">
        <f>"CP-30-BC-16-ivory"</f>
        <v>CP-30-BC-16-ivory</v>
      </c>
      <c r="E50" s="21"/>
      <c r="F50" s="21" t="str">
        <f>"ﾀｷｹﾞﾝ"</f>
        <v>ﾀｷｹﾞﾝ</v>
      </c>
      <c r="G50" s="21">
        <v>2</v>
      </c>
      <c r="H50" s="21">
        <v>28</v>
      </c>
      <c r="I50" s="21">
        <v>56</v>
      </c>
      <c r="J50" s="21">
        <v>22</v>
      </c>
      <c r="K50" s="21">
        <v>44</v>
      </c>
    </row>
    <row r="51" spans="2:11" ht="14.25" thickTop="1" x14ac:dyDescent="0.15">
      <c r="B51" s="22"/>
      <c r="D51" s="1" t="str">
        <f>"ｷｬｯﾌﾟｺﾝ・ﾒｸﾗ・ﾂﾏﾐ"</f>
        <v>ｷｬｯﾌﾟｺﾝ・ﾒｸﾗ・ﾂﾏﾐ</v>
      </c>
      <c r="F51" s="1" t="str">
        <f>"小計"</f>
        <v>小計</v>
      </c>
      <c r="I51" s="1" t="str">
        <f>"28.00"</f>
        <v>28.00</v>
      </c>
      <c r="K51" s="1" t="str">
        <f>"22.00"</f>
        <v>22.00</v>
      </c>
    </row>
    <row r="52" spans="2:11" x14ac:dyDescent="0.15">
      <c r="B52" s="22"/>
    </row>
    <row r="53" spans="2:11" x14ac:dyDescent="0.15">
      <c r="B53" s="18">
        <v>24</v>
      </c>
      <c r="C53" s="19" t="str">
        <f>"スペ－スヒ－タ"</f>
        <v>スペ－スヒ－タ</v>
      </c>
      <c r="D53" s="19" t="str">
        <f>"R87T-A4A07H"</f>
        <v>R87T-A4A07H</v>
      </c>
      <c r="E53" s="19"/>
      <c r="F53" s="19" t="str">
        <f>"ｵﾑﾛﾝ"</f>
        <v>ｵﾑﾛﾝ</v>
      </c>
      <c r="G53" s="19">
        <v>2</v>
      </c>
      <c r="H53" s="19">
        <v>5250</v>
      </c>
      <c r="I53" s="19">
        <v>10500</v>
      </c>
      <c r="J53" s="19">
        <v>4200</v>
      </c>
      <c r="K53" s="19">
        <v>8400</v>
      </c>
    </row>
    <row r="54" spans="2:11" x14ac:dyDescent="0.15">
      <c r="B54" s="18">
        <v>25</v>
      </c>
      <c r="C54" s="19" t="str">
        <f>"フィルタ－"</f>
        <v>フィルタ－</v>
      </c>
      <c r="D54" s="19" t="str">
        <f>"LP-4"</f>
        <v>LP-4</v>
      </c>
      <c r="E54" s="19"/>
      <c r="F54" s="19" t="str">
        <f>"日東工業"</f>
        <v>日東工業</v>
      </c>
      <c r="G54" s="19">
        <v>4</v>
      </c>
      <c r="H54" s="19">
        <v>2125</v>
      </c>
      <c r="I54" s="19">
        <v>8500</v>
      </c>
      <c r="J54" s="19">
        <v>1700</v>
      </c>
      <c r="K54" s="19">
        <v>6800</v>
      </c>
    </row>
    <row r="55" spans="2:11" ht="14.25" thickBot="1" x14ac:dyDescent="0.2">
      <c r="B55" s="20">
        <v>26</v>
      </c>
      <c r="C55" s="21" t="str">
        <f>"スペ－スヒ－タ"</f>
        <v>スペ－スヒ－タ</v>
      </c>
      <c r="D55" s="21" t="str">
        <f>"R87F-FG150"</f>
        <v>R87F-FG150</v>
      </c>
      <c r="E55" s="21"/>
      <c r="F55" s="21" t="str">
        <f>"ｵﾑﾛﾝ"</f>
        <v>ｵﾑﾛﾝ</v>
      </c>
      <c r="G55" s="21">
        <v>4</v>
      </c>
      <c r="H55" s="21">
        <v>434</v>
      </c>
      <c r="I55" s="21">
        <v>1736</v>
      </c>
      <c r="J55" s="21">
        <v>347</v>
      </c>
      <c r="K55" s="21">
        <v>1388</v>
      </c>
    </row>
    <row r="56" spans="2:11" ht="14.25" thickTop="1" x14ac:dyDescent="0.15">
      <c r="B56" s="22"/>
      <c r="D56" s="1" t="str">
        <f>"ﾋｰﾀ・ﾌｧﾝ・ｻｰﾓｽﾀｯﾄ・ﾌｨﾙﾀ・ﾙ-ﾊ"</f>
        <v>ﾋｰﾀ・ﾌｧﾝ・ｻｰﾓｽﾀｯﾄ・ﾌｨﾙﾀ・ﾙ-ﾊ</v>
      </c>
      <c r="F56" s="1" t="str">
        <f>"小計"</f>
        <v>小計</v>
      </c>
      <c r="I56" s="1" t="str">
        <f>"7809.00"</f>
        <v>7809.00</v>
      </c>
      <c r="K56" s="1" t="str">
        <f>"6247.00"</f>
        <v>6247.00</v>
      </c>
    </row>
    <row r="57" spans="2:11" x14ac:dyDescent="0.15">
      <c r="B57" s="22"/>
    </row>
    <row r="58" spans="2:11" x14ac:dyDescent="0.15">
      <c r="B58" s="18">
        <v>27</v>
      </c>
      <c r="C58" s="19" t="str">
        <f>"シーケンサ（N)"</f>
        <v>シーケンサ（N)</v>
      </c>
      <c r="D58" s="19" t="str">
        <f>"FX2N-2LC"</f>
        <v>FX2N-2LC</v>
      </c>
      <c r="E58" s="19"/>
      <c r="F58" s="19" t="str">
        <f t="shared" ref="F58:F63" si="0">"三菱電機"</f>
        <v>三菱電機</v>
      </c>
      <c r="G58" s="19">
        <v>1</v>
      </c>
      <c r="H58" s="19">
        <v>34522</v>
      </c>
      <c r="I58" s="19">
        <v>34522</v>
      </c>
      <c r="J58" s="19">
        <v>27840</v>
      </c>
      <c r="K58" s="19">
        <v>27840</v>
      </c>
    </row>
    <row r="59" spans="2:11" x14ac:dyDescent="0.15">
      <c r="B59" s="18">
        <v>28</v>
      </c>
      <c r="C59" s="19" t="str">
        <f>"シーケンサ（N)"</f>
        <v>シーケンサ（N)</v>
      </c>
      <c r="D59" s="19" t="str">
        <f>"FX3U-485-BD"</f>
        <v>FX3U-485-BD</v>
      </c>
      <c r="E59" s="19"/>
      <c r="F59" s="19" t="str">
        <f t="shared" si="0"/>
        <v>三菱電機</v>
      </c>
      <c r="G59" s="19">
        <v>1</v>
      </c>
      <c r="H59" s="19">
        <v>2976</v>
      </c>
      <c r="I59" s="19">
        <v>2976</v>
      </c>
      <c r="J59" s="19">
        <v>2400</v>
      </c>
      <c r="K59" s="19">
        <v>2400</v>
      </c>
    </row>
    <row r="60" spans="2:11" x14ac:dyDescent="0.15">
      <c r="B60" s="18">
        <v>29</v>
      </c>
      <c r="C60" s="19" t="str">
        <f>"シーケンサ（N)"</f>
        <v>シーケンサ（N)</v>
      </c>
      <c r="D60" s="19" t="str">
        <f>"FX3U-FLROM-16"</f>
        <v>FX3U-FLROM-16</v>
      </c>
      <c r="E60" s="19"/>
      <c r="F60" s="19" t="str">
        <f t="shared" si="0"/>
        <v>三菱電機</v>
      </c>
      <c r="G60" s="19">
        <v>1</v>
      </c>
      <c r="H60" s="19">
        <v>5952</v>
      </c>
      <c r="I60" s="19">
        <v>5952</v>
      </c>
      <c r="J60" s="19">
        <v>4800</v>
      </c>
      <c r="K60" s="19">
        <v>4800</v>
      </c>
    </row>
    <row r="61" spans="2:11" x14ac:dyDescent="0.15">
      <c r="B61" s="18">
        <v>30</v>
      </c>
      <c r="C61" s="19" t="str">
        <f>"シーケンサ（N)"</f>
        <v>シーケンサ（N)</v>
      </c>
      <c r="D61" s="19" t="str">
        <f>"FX3U-48MR/ES"</f>
        <v>FX3U-48MR/ES</v>
      </c>
      <c r="E61" s="19"/>
      <c r="F61" s="19" t="str">
        <f t="shared" si="0"/>
        <v>三菱電機</v>
      </c>
      <c r="G61" s="19">
        <v>1</v>
      </c>
      <c r="H61" s="19">
        <v>59520</v>
      </c>
      <c r="I61" s="19">
        <v>59520</v>
      </c>
      <c r="J61" s="19">
        <v>48000</v>
      </c>
      <c r="K61" s="19">
        <v>48000</v>
      </c>
    </row>
    <row r="62" spans="2:11" x14ac:dyDescent="0.15">
      <c r="B62" s="18">
        <v>31</v>
      </c>
      <c r="C62" s="19" t="str">
        <f>"シ－ケンサ（オムロン）"</f>
        <v>シ－ケンサ（オムロン）</v>
      </c>
      <c r="D62" s="19" t="str">
        <f>"GT1455-QTBDE"</f>
        <v>GT1455-QTBDE</v>
      </c>
      <c r="E62" s="19"/>
      <c r="F62" s="19" t="str">
        <f t="shared" si="0"/>
        <v>三菱電機</v>
      </c>
      <c r="G62" s="19">
        <v>1</v>
      </c>
      <c r="H62" s="19">
        <v>75330</v>
      </c>
      <c r="I62" s="19">
        <v>75330</v>
      </c>
      <c r="J62" s="19">
        <v>60750</v>
      </c>
      <c r="K62" s="19">
        <v>60750</v>
      </c>
    </row>
    <row r="63" spans="2:11" x14ac:dyDescent="0.15">
      <c r="B63" s="18">
        <v>32</v>
      </c>
      <c r="C63" s="19" t="str">
        <f>"タッチパネル"</f>
        <v>タッチパネル</v>
      </c>
      <c r="D63" s="19" t="str">
        <f>"GT01-C30R4-8P"</f>
        <v>GT01-C30R4-8P</v>
      </c>
      <c r="E63" s="19"/>
      <c r="F63" s="19" t="str">
        <f t="shared" si="0"/>
        <v>三菱電機</v>
      </c>
      <c r="G63" s="19">
        <v>1</v>
      </c>
      <c r="H63" s="19">
        <v>6696</v>
      </c>
      <c r="I63" s="19">
        <v>6696</v>
      </c>
      <c r="J63" s="19">
        <v>5400</v>
      </c>
      <c r="K63" s="19">
        <v>5400</v>
      </c>
    </row>
    <row r="64" spans="2:11" ht="14.25" thickBot="1" x14ac:dyDescent="0.2">
      <c r="B64" s="20">
        <v>33</v>
      </c>
      <c r="C64" s="21" t="str">
        <f>"HUB"</f>
        <v>HUB</v>
      </c>
      <c r="D64" s="21" t="str">
        <f>"TS2GSDC(2GB)"</f>
        <v>TS2GSDC(2GB)</v>
      </c>
      <c r="E64" s="21"/>
      <c r="F64" s="21" t="str">
        <f>"ﾄﾗｾﾝﾄﾞ"</f>
        <v>ﾄﾗｾﾝﾄﾞ</v>
      </c>
      <c r="G64" s="21">
        <v>1</v>
      </c>
      <c r="H64" s="21">
        <v>1200</v>
      </c>
      <c r="I64" s="21">
        <v>1200</v>
      </c>
      <c r="J64" s="21">
        <v>1030</v>
      </c>
      <c r="K64" s="21">
        <v>1030</v>
      </c>
    </row>
    <row r="65" spans="2:11" ht="14.25" thickTop="1" x14ac:dyDescent="0.15">
      <c r="B65" s="22"/>
      <c r="D65" s="1" t="str">
        <f>"シーケンサ・タッチパネル"</f>
        <v>シーケンサ・タッチパネル</v>
      </c>
      <c r="F65" s="1" t="str">
        <f>"小計"</f>
        <v>小計</v>
      </c>
      <c r="I65" s="1" t="str">
        <f>"186196.00"</f>
        <v>186196.00</v>
      </c>
      <c r="K65" s="1" t="str">
        <f>"150220.00"</f>
        <v>150220.00</v>
      </c>
    </row>
    <row r="66" spans="2:11" x14ac:dyDescent="0.15">
      <c r="B66" s="22"/>
    </row>
    <row r="67" spans="2:11" x14ac:dyDescent="0.15">
      <c r="B67" s="18">
        <v>34</v>
      </c>
      <c r="C67" s="19" t="str">
        <f>"電源装置"</f>
        <v>電源装置</v>
      </c>
      <c r="D67" s="19" t="str">
        <f>"ENF-SNT-6D"</f>
        <v>ENF-SNT-6D</v>
      </c>
      <c r="E67" s="19"/>
      <c r="F67" s="19" t="str">
        <f>"ﾐｽﾐ"</f>
        <v>ﾐｽﾐ</v>
      </c>
      <c r="G67" s="19">
        <v>1</v>
      </c>
      <c r="H67" s="19">
        <v>1663</v>
      </c>
      <c r="I67" s="19">
        <v>1663</v>
      </c>
      <c r="J67" s="19">
        <v>1330</v>
      </c>
      <c r="K67" s="19">
        <v>1330</v>
      </c>
    </row>
    <row r="68" spans="2:11" ht="14.25" thickBot="1" x14ac:dyDescent="0.2">
      <c r="B68" s="20">
        <v>35</v>
      </c>
      <c r="C68" s="21" t="str">
        <f>"ダイオード"</f>
        <v>ダイオード</v>
      </c>
      <c r="D68" s="21" t="str">
        <f>"PLA50F-24-N1"</f>
        <v>PLA50F-24-N1</v>
      </c>
      <c r="E68" s="21"/>
      <c r="F68" s="21" t="str">
        <f>"ｺｰｾﾙ"</f>
        <v>ｺｰｾﾙ</v>
      </c>
      <c r="G68" s="21">
        <v>1</v>
      </c>
      <c r="H68" s="21">
        <v>3725</v>
      </c>
      <c r="I68" s="21">
        <v>3725</v>
      </c>
      <c r="J68" s="21">
        <v>2980</v>
      </c>
      <c r="K68" s="21">
        <v>2980</v>
      </c>
    </row>
    <row r="69" spans="2:11" ht="14.25" thickTop="1" x14ac:dyDescent="0.15">
      <c r="B69" s="22"/>
      <c r="D69" s="1" t="str">
        <f>"電源装置・ＮＦ・ＶＲ・Ｒ・ＳＫ・Ｄ"</f>
        <v>電源装置・ＮＦ・ＶＲ・Ｒ・ＳＫ・Ｄ</v>
      </c>
      <c r="F69" s="1" t="str">
        <f>"小計"</f>
        <v>小計</v>
      </c>
      <c r="I69" s="1" t="str">
        <f>"5388.00"</f>
        <v>5388.00</v>
      </c>
      <c r="K69" s="1" t="str">
        <f>"4310.00"</f>
        <v>4310.00</v>
      </c>
    </row>
    <row r="70" spans="2:11" x14ac:dyDescent="0.15">
      <c r="B70" s="22"/>
    </row>
    <row r="71" spans="2:11" ht="14.25" thickBot="1" x14ac:dyDescent="0.2">
      <c r="B71" s="20">
        <v>36</v>
      </c>
      <c r="C71" s="21" t="str">
        <f>"自動通報装置"</f>
        <v>自動通報装置</v>
      </c>
      <c r="D71" s="21"/>
      <c r="E71" s="21"/>
      <c r="F71" s="21"/>
      <c r="G71" s="21">
        <v>1</v>
      </c>
      <c r="H71" s="21">
        <v>6000</v>
      </c>
      <c r="I71" s="21">
        <v>6000</v>
      </c>
      <c r="J71" s="21">
        <v>0</v>
      </c>
      <c r="K71" s="21">
        <v>0</v>
      </c>
    </row>
    <row r="72" spans="2:11" ht="14.25" thickTop="1" x14ac:dyDescent="0.15">
      <c r="B72" s="22"/>
      <c r="D72" s="1" t="str">
        <f>"銘板"</f>
        <v>銘板</v>
      </c>
      <c r="F72" s="1" t="str">
        <f>"小計"</f>
        <v>小計</v>
      </c>
      <c r="I72" s="1" t="str">
        <f>"6000.00"</f>
        <v>6000.00</v>
      </c>
      <c r="K72" s="1" t="str">
        <f>"0.00"</f>
        <v>0.00</v>
      </c>
    </row>
    <row r="73" spans="2:11" x14ac:dyDescent="0.15">
      <c r="B73" s="22"/>
    </row>
    <row r="74" spans="2:11" ht="14.25" thickBot="1" x14ac:dyDescent="0.2">
      <c r="B74" s="20">
        <v>37</v>
      </c>
      <c r="C74" s="21" t="str">
        <f>"銘板"</f>
        <v>銘板</v>
      </c>
      <c r="D74" s="21"/>
      <c r="E74" s="21"/>
      <c r="F74" s="21"/>
      <c r="G74" s="21">
        <v>1</v>
      </c>
      <c r="H74" s="21">
        <v>15000</v>
      </c>
      <c r="I74" s="21">
        <v>15000</v>
      </c>
      <c r="J74" s="21">
        <v>0</v>
      </c>
      <c r="K74" s="21">
        <v>0</v>
      </c>
    </row>
    <row r="75" spans="2:11" ht="14.25" thickTop="1" x14ac:dyDescent="0.15">
      <c r="B75" s="22"/>
      <c r="D75" s="1" t="str">
        <f>"端子台"</f>
        <v>端子台</v>
      </c>
      <c r="F75" s="1" t="str">
        <f>"小計"</f>
        <v>小計</v>
      </c>
      <c r="I75" s="1" t="str">
        <f>"15000.00"</f>
        <v>15000.00</v>
      </c>
      <c r="K75" s="1" t="str">
        <f>"0.00"</f>
        <v>0.00</v>
      </c>
    </row>
    <row r="76" spans="2:11" x14ac:dyDescent="0.15">
      <c r="B76" s="22"/>
    </row>
    <row r="77" spans="2:11" ht="14.25" thickBot="1" x14ac:dyDescent="0.2">
      <c r="B77" s="20">
        <v>38</v>
      </c>
      <c r="C77" s="21" t="str">
        <f>"耐圧防爆用コントロールボックス"</f>
        <v>耐圧防爆用コントロールボックス</v>
      </c>
      <c r="D77" s="21"/>
      <c r="E77" s="21"/>
      <c r="F77" s="21"/>
      <c r="G77" s="21">
        <v>1</v>
      </c>
      <c r="H77" s="21">
        <v>25000</v>
      </c>
      <c r="I77" s="21">
        <v>25000</v>
      </c>
      <c r="J77" s="21">
        <v>0</v>
      </c>
      <c r="K77" s="21">
        <v>0</v>
      </c>
    </row>
    <row r="78" spans="2:11" ht="14.25" thickTop="1" x14ac:dyDescent="0.15">
      <c r="B78" s="22"/>
      <c r="D78" s="1" t="str">
        <f>"配線材料"</f>
        <v>配線材料</v>
      </c>
      <c r="F78" s="1" t="str">
        <f>"小計"</f>
        <v>小計</v>
      </c>
      <c r="I78" s="1" t="str">
        <f>"25000.00"</f>
        <v>25000.00</v>
      </c>
      <c r="K78" s="1" t="str">
        <f>"0.00"</f>
        <v>0.00</v>
      </c>
    </row>
    <row r="79" spans="2:11" x14ac:dyDescent="0.15">
      <c r="B79" s="22"/>
    </row>
    <row r="80" spans="2:11" ht="14.25" thickBot="1" x14ac:dyDescent="0.2">
      <c r="B80" s="20">
        <v>39</v>
      </c>
      <c r="C80" s="21" t="str">
        <f>"検査費"</f>
        <v>検査費</v>
      </c>
      <c r="D80" s="21"/>
      <c r="E80" s="21"/>
      <c r="F80" s="21"/>
      <c r="G80" s="21">
        <v>1</v>
      </c>
      <c r="H80" s="21">
        <v>25000</v>
      </c>
      <c r="I80" s="21">
        <v>25000</v>
      </c>
      <c r="J80" s="21">
        <v>0</v>
      </c>
      <c r="K80" s="21">
        <v>0</v>
      </c>
    </row>
    <row r="81" spans="2:11" ht="14.25" thickTop="1" x14ac:dyDescent="0.15">
      <c r="B81" s="18"/>
      <c r="C81" s="19"/>
      <c r="D81" s="19" t="str">
        <f>"検査費"</f>
        <v>検査費</v>
      </c>
      <c r="E81" s="19"/>
      <c r="F81" s="19" t="str">
        <f>"小計"</f>
        <v>小計</v>
      </c>
      <c r="G81" s="19"/>
      <c r="H81" s="19"/>
      <c r="I81" s="19" t="str">
        <f>"25000.00"</f>
        <v>25000.00</v>
      </c>
      <c r="J81" s="19"/>
      <c r="K81" s="19" t="str">
        <f>"0.00"</f>
        <v>0.00</v>
      </c>
    </row>
    <row r="82" spans="2:11" x14ac:dyDescent="0.15">
      <c r="B82" s="18"/>
      <c r="C82" s="19"/>
      <c r="D82" s="19"/>
      <c r="E82" s="19"/>
      <c r="F82" s="19"/>
      <c r="G82" s="19"/>
      <c r="H82" s="19"/>
      <c r="I82" s="19"/>
      <c r="J82" s="19"/>
      <c r="K82" s="19"/>
    </row>
    <row r="83" spans="2:11" ht="14.25" thickBot="1" x14ac:dyDescent="0.2">
      <c r="B83" s="20">
        <v>40</v>
      </c>
      <c r="C83" s="21" t="str">
        <f>"立会検査費"</f>
        <v>立会検査費</v>
      </c>
      <c r="D83" s="21"/>
      <c r="E83" s="21"/>
      <c r="F83" s="21"/>
      <c r="G83" s="21">
        <v>1</v>
      </c>
      <c r="H83" s="21">
        <v>4000</v>
      </c>
      <c r="I83" s="21">
        <v>4000</v>
      </c>
      <c r="J83" s="21">
        <v>0</v>
      </c>
      <c r="K83" s="21">
        <v>0</v>
      </c>
    </row>
    <row r="84" spans="2:11" ht="14.25" thickTop="1" x14ac:dyDescent="0.15">
      <c r="B84" s="18"/>
      <c r="C84" s="19"/>
      <c r="D84" s="19" t="str">
        <f>"運送費"</f>
        <v>運送費</v>
      </c>
      <c r="E84" s="19"/>
      <c r="F84" s="19" t="str">
        <f>"小計"</f>
        <v>小計</v>
      </c>
      <c r="G84" s="19"/>
      <c r="H84" s="19"/>
      <c r="I84" s="19" t="str">
        <f>"4000.00"</f>
        <v>4000.00</v>
      </c>
      <c r="J84" s="19"/>
      <c r="K84" s="19" t="str">
        <f>"0.00"</f>
        <v>0.00</v>
      </c>
    </row>
    <row r="85" spans="2:11" x14ac:dyDescent="0.15">
      <c r="B85" s="18"/>
      <c r="C85" s="19"/>
      <c r="D85" s="19"/>
      <c r="E85" s="19"/>
      <c r="F85" s="19"/>
      <c r="G85" s="19"/>
      <c r="H85" s="19"/>
      <c r="I85" s="19"/>
      <c r="J85" s="19"/>
      <c r="K85" s="19"/>
    </row>
    <row r="86" spans="2:11" ht="14.25" thickBot="1" x14ac:dyDescent="0.2">
      <c r="B86" s="20">
        <v>41</v>
      </c>
      <c r="C86" s="21"/>
      <c r="D86" s="21"/>
      <c r="E86" s="21"/>
      <c r="F86" s="21"/>
      <c r="G86" s="21">
        <v>6</v>
      </c>
      <c r="H86" s="21">
        <v>3000</v>
      </c>
      <c r="I86" s="21">
        <v>18000</v>
      </c>
      <c r="J86" s="21"/>
      <c r="K86" s="21">
        <v>0</v>
      </c>
    </row>
    <row r="87" spans="2:11" ht="14.25" thickTop="1" x14ac:dyDescent="0.15">
      <c r="B87" s="18"/>
      <c r="C87" s="19"/>
      <c r="D87" s="19"/>
      <c r="E87" s="19"/>
      <c r="F87" s="19" t="str">
        <f>"小計"</f>
        <v>小計</v>
      </c>
      <c r="G87" s="19"/>
      <c r="H87" s="19"/>
      <c r="I87" s="19"/>
      <c r="J87" s="19"/>
      <c r="K87" s="19"/>
    </row>
    <row r="88" spans="2:11" x14ac:dyDescent="0.15">
      <c r="B88" s="18"/>
      <c r="C88" s="19"/>
      <c r="D88" s="19"/>
      <c r="E88" s="19"/>
      <c r="F88" s="19"/>
      <c r="G88" s="19"/>
      <c r="H88" s="19"/>
      <c r="I88" s="19"/>
      <c r="J88" s="19"/>
      <c r="K88" s="19"/>
    </row>
    <row r="89" spans="2:11" ht="14.25" thickBot="1" x14ac:dyDescent="0.2">
      <c r="B89" s="20">
        <v>42</v>
      </c>
      <c r="C89" s="21"/>
      <c r="D89" s="21"/>
      <c r="E89" s="21"/>
      <c r="F89" s="21"/>
      <c r="G89" s="21">
        <v>1</v>
      </c>
      <c r="H89" s="21">
        <v>12000</v>
      </c>
      <c r="I89" s="21">
        <v>12000</v>
      </c>
      <c r="J89" s="21"/>
      <c r="K89" s="21">
        <v>0</v>
      </c>
    </row>
    <row r="90" spans="2:11" ht="14.25" thickTop="1" x14ac:dyDescent="0.15">
      <c r="B90" s="18"/>
      <c r="C90" s="19"/>
      <c r="D90" s="19"/>
      <c r="E90" s="19"/>
      <c r="F90" s="19" t="str">
        <f>"小計"</f>
        <v>小計</v>
      </c>
      <c r="G90" s="19"/>
      <c r="H90" s="19"/>
      <c r="I90" s="19"/>
      <c r="J90" s="19"/>
      <c r="K90" s="19"/>
    </row>
    <row r="91" spans="2:11" x14ac:dyDescent="0.15">
      <c r="B91" s="18"/>
      <c r="C91" s="19"/>
      <c r="D91" s="19"/>
      <c r="E91" s="19"/>
      <c r="F91" s="19"/>
      <c r="G91" s="19"/>
      <c r="H91" s="19"/>
      <c r="I91" s="19"/>
      <c r="J91" s="19"/>
      <c r="K91" s="19"/>
    </row>
    <row r="92" spans="2:11" ht="14.25" thickBot="1" x14ac:dyDescent="0.2">
      <c r="B92" s="20">
        <v>43</v>
      </c>
      <c r="C92" s="21"/>
      <c r="D92" s="21"/>
      <c r="E92" s="21"/>
      <c r="F92" s="21"/>
      <c r="G92" s="21">
        <v>5</v>
      </c>
      <c r="H92" s="21">
        <v>5000</v>
      </c>
      <c r="I92" s="21">
        <v>25000</v>
      </c>
      <c r="J92" s="21"/>
      <c r="K92" s="21">
        <v>0</v>
      </c>
    </row>
    <row r="93" spans="2:11" ht="14.25" thickTop="1" x14ac:dyDescent="0.15">
      <c r="B93" s="18"/>
      <c r="C93" s="19"/>
      <c r="D93" s="19"/>
      <c r="E93" s="19"/>
      <c r="F93" s="19" t="str">
        <f>"小計"</f>
        <v>小計</v>
      </c>
      <c r="G93" s="19"/>
      <c r="H93" s="19"/>
      <c r="I93" s="19"/>
      <c r="J93" s="19"/>
      <c r="K93" s="19"/>
    </row>
    <row r="94" spans="2:11" x14ac:dyDescent="0.15">
      <c r="B94" s="18"/>
      <c r="C94" s="19"/>
      <c r="D94" s="19"/>
      <c r="E94" s="19"/>
      <c r="F94" s="19"/>
      <c r="G94" s="19"/>
      <c r="H94" s="19"/>
      <c r="I94" s="19"/>
      <c r="J94" s="19"/>
      <c r="K94" s="19"/>
    </row>
    <row r="95" spans="2:11" ht="14.25" thickBot="1" x14ac:dyDescent="0.2">
      <c r="B95" s="20">
        <v>44</v>
      </c>
      <c r="C95" s="21"/>
      <c r="D95" s="21"/>
      <c r="E95" s="21"/>
      <c r="F95" s="21"/>
      <c r="G95" s="21">
        <v>3</v>
      </c>
      <c r="H95" s="21">
        <v>5000</v>
      </c>
      <c r="I95" s="21">
        <v>15000</v>
      </c>
      <c r="J95" s="21"/>
      <c r="K95" s="21">
        <v>0</v>
      </c>
    </row>
    <row r="96" spans="2:11" ht="14.25" thickTop="1" x14ac:dyDescent="0.15">
      <c r="B96" s="18"/>
      <c r="C96" s="19"/>
      <c r="D96" s="19"/>
      <c r="E96" s="19"/>
      <c r="F96" s="19" t="str">
        <f>"小計"</f>
        <v>小計</v>
      </c>
      <c r="G96" s="19"/>
      <c r="H96" s="19"/>
      <c r="I96" s="19"/>
      <c r="J96" s="19"/>
      <c r="K96" s="19"/>
    </row>
    <row r="97" spans="2:11" x14ac:dyDescent="0.15">
      <c r="B97" s="18"/>
      <c r="C97" s="19"/>
      <c r="D97" s="19"/>
      <c r="E97" s="19"/>
      <c r="F97" s="19"/>
      <c r="G97" s="19"/>
      <c r="H97" s="19"/>
      <c r="I97" s="19"/>
      <c r="J97" s="19"/>
      <c r="K97" s="19"/>
    </row>
    <row r="98" spans="2:11" ht="14.25" thickBot="1" x14ac:dyDescent="0.2">
      <c r="B98" s="20">
        <v>45</v>
      </c>
      <c r="C98" s="21"/>
      <c r="D98" s="21" t="str">
        <f>"ﾀｯﾁﾊﾟﾈﾙ・取説"</f>
        <v>ﾀｯﾁﾊﾟﾈﾙ・取説</v>
      </c>
      <c r="E98" s="21"/>
      <c r="F98" s="21"/>
      <c r="G98" s="21">
        <v>2</v>
      </c>
      <c r="H98" s="21">
        <v>5000</v>
      </c>
      <c r="I98" s="21">
        <v>10000</v>
      </c>
      <c r="J98" s="21"/>
      <c r="K98" s="21">
        <v>0</v>
      </c>
    </row>
    <row r="99" spans="2:11" ht="14.25" thickTop="1" x14ac:dyDescent="0.15">
      <c r="B99" s="18"/>
      <c r="C99" s="19"/>
      <c r="D99" s="19"/>
      <c r="E99" s="19"/>
      <c r="F99" s="19" t="str">
        <f>"小計"</f>
        <v>小計</v>
      </c>
      <c r="G99" s="19"/>
      <c r="H99" s="19"/>
      <c r="I99" s="19"/>
      <c r="J99" s="19"/>
      <c r="K99" s="19"/>
    </row>
    <row r="100" spans="2:11" x14ac:dyDescent="0.15">
      <c r="B100" s="18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2:11" ht="14.25" thickBot="1" x14ac:dyDescent="0.2">
      <c r="B101" s="20">
        <v>46</v>
      </c>
      <c r="C101" s="21"/>
      <c r="D101" s="21" t="str">
        <f>"W700×H1400×D300"</f>
        <v>W700×H1400×D300</v>
      </c>
      <c r="E101" s="21"/>
      <c r="F101" s="21"/>
      <c r="G101" s="21">
        <v>1</v>
      </c>
      <c r="H101" s="21">
        <v>210000</v>
      </c>
      <c r="I101" s="21">
        <v>210000</v>
      </c>
      <c r="J101" s="21"/>
      <c r="K101" s="21">
        <v>0</v>
      </c>
    </row>
    <row r="102" spans="2:11" ht="14.25" thickTop="1" x14ac:dyDescent="0.15">
      <c r="B102" s="18"/>
      <c r="C102" s="19"/>
      <c r="D102" s="19"/>
      <c r="E102" s="19"/>
      <c r="F102" s="19" t="str">
        <f>"小計"</f>
        <v>小計</v>
      </c>
      <c r="G102" s="19"/>
      <c r="H102" s="19"/>
      <c r="I102" s="19"/>
      <c r="J102" s="19"/>
      <c r="K102" s="19"/>
    </row>
    <row r="103" spans="2:11" x14ac:dyDescent="0.15">
      <c r="B103" s="18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2:11" ht="14.25" thickBot="1" x14ac:dyDescent="0.2">
      <c r="B104" s="20">
        <v>47</v>
      </c>
      <c r="C104" s="21"/>
      <c r="D104" s="21"/>
      <c r="E104" s="21"/>
      <c r="F104" s="21"/>
      <c r="G104" s="21">
        <v>2</v>
      </c>
      <c r="H104" s="21">
        <v>5000</v>
      </c>
      <c r="I104" s="21">
        <v>10000</v>
      </c>
      <c r="J104" s="21"/>
      <c r="K104" s="21">
        <v>0</v>
      </c>
    </row>
    <row r="105" spans="2:11" ht="14.25" thickTop="1" x14ac:dyDescent="0.15">
      <c r="B105" s="18"/>
      <c r="C105" s="19"/>
      <c r="D105" s="19"/>
      <c r="E105" s="19"/>
      <c r="F105" s="19" t="str">
        <f>"小計"</f>
        <v>小計</v>
      </c>
      <c r="G105" s="19"/>
      <c r="H105" s="19"/>
      <c r="I105" s="19"/>
      <c r="J105" s="19"/>
      <c r="K105" s="19"/>
    </row>
    <row r="106" spans="2:11" x14ac:dyDescent="0.15">
      <c r="B106" s="18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2:11" ht="14.25" thickBot="1" x14ac:dyDescent="0.2">
      <c r="B107" s="20">
        <v>48</v>
      </c>
      <c r="C107" s="21"/>
      <c r="D107" s="21" t="str">
        <f>"NWGMC5E-STN-SUMB-BL-3"</f>
        <v>NWGMC5E-STN-SUMB-BL-3</v>
      </c>
      <c r="E107" s="21"/>
      <c r="F107" s="21"/>
      <c r="G107" s="21">
        <v>2</v>
      </c>
      <c r="H107" s="21">
        <v>625</v>
      </c>
      <c r="I107" s="21">
        <v>1250</v>
      </c>
      <c r="J107" s="21"/>
      <c r="K107" s="21">
        <v>0</v>
      </c>
    </row>
    <row r="108" spans="2:11" ht="14.25" thickTop="1" x14ac:dyDescent="0.15">
      <c r="B108" s="18"/>
      <c r="C108" s="19"/>
      <c r="D108" s="19"/>
      <c r="E108" s="19"/>
      <c r="F108" s="19" t="str">
        <f>"小計"</f>
        <v>小計</v>
      </c>
      <c r="G108" s="19"/>
      <c r="H108" s="19"/>
      <c r="I108" s="19"/>
      <c r="J108" s="19"/>
      <c r="K108" s="19"/>
    </row>
    <row r="109" spans="2:11" x14ac:dyDescent="0.15">
      <c r="B109" s="18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2:11" ht="14.25" thickBot="1" x14ac:dyDescent="0.2">
      <c r="B110" s="20">
        <v>49</v>
      </c>
      <c r="C110" s="21"/>
      <c r="D110" s="21" t="str">
        <f>"EKC315A"</f>
        <v>EKC315A</v>
      </c>
      <c r="E110" s="21"/>
      <c r="F110" s="21"/>
      <c r="G110" s="21">
        <v>2</v>
      </c>
      <c r="H110" s="21">
        <v>0</v>
      </c>
      <c r="I110" s="21">
        <v>0</v>
      </c>
      <c r="J110" s="21"/>
      <c r="K110" s="21">
        <v>0</v>
      </c>
    </row>
    <row r="111" spans="2:11" ht="14.25" thickTop="1" x14ac:dyDescent="0.15">
      <c r="B111" s="18"/>
      <c r="C111" s="19"/>
      <c r="D111" s="19"/>
      <c r="E111" s="19"/>
      <c r="F111" s="19" t="str">
        <f>"小計"</f>
        <v>小計</v>
      </c>
      <c r="G111" s="19"/>
      <c r="H111" s="19"/>
      <c r="I111" s="19"/>
      <c r="J111" s="19"/>
      <c r="K111" s="19"/>
    </row>
    <row r="112" spans="2:11" x14ac:dyDescent="0.15">
      <c r="B112" s="18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ht="14.25" thickBot="1" x14ac:dyDescent="0.2">
      <c r="B113" s="20">
        <v>50</v>
      </c>
      <c r="C113" s="21"/>
      <c r="D113" s="21"/>
      <c r="E113" s="21"/>
      <c r="F113" s="21"/>
      <c r="G113" s="21">
        <v>1</v>
      </c>
      <c r="H113" s="21">
        <v>4000</v>
      </c>
      <c r="I113" s="21">
        <v>4000</v>
      </c>
      <c r="J113" s="21"/>
      <c r="K113" s="21">
        <v>0</v>
      </c>
    </row>
    <row r="114" spans="2:11" ht="14.25" thickTop="1" x14ac:dyDescent="0.15">
      <c r="B114" s="18"/>
      <c r="C114" s="19"/>
      <c r="D114" s="19"/>
      <c r="E114" s="19"/>
      <c r="F114" s="19" t="str">
        <f>"小計"</f>
        <v>小計</v>
      </c>
      <c r="G114" s="19"/>
      <c r="H114" s="19"/>
      <c r="I114" s="19"/>
      <c r="J114" s="19"/>
      <c r="K114" s="19"/>
    </row>
    <row r="115" spans="2:11" x14ac:dyDescent="0.15">
      <c r="B115" s="18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ht="14.25" thickBot="1" x14ac:dyDescent="0.2">
      <c r="B116" s="20">
        <v>51</v>
      </c>
      <c r="C116" s="21"/>
      <c r="D116" s="21"/>
      <c r="E116" s="21"/>
      <c r="F116" s="21"/>
      <c r="G116" s="21">
        <v>40</v>
      </c>
      <c r="H116" s="21">
        <v>3750</v>
      </c>
      <c r="I116" s="21">
        <v>150000</v>
      </c>
      <c r="J116" s="21"/>
      <c r="K116" s="21">
        <v>0</v>
      </c>
    </row>
    <row r="117" spans="2:11" ht="14.25" thickTop="1" x14ac:dyDescent="0.15">
      <c r="B117" s="18"/>
      <c r="C117" s="19"/>
      <c r="D117" s="19"/>
      <c r="E117" s="19"/>
      <c r="F117" s="19" t="str">
        <f>"小計"</f>
        <v>小計</v>
      </c>
      <c r="G117" s="19"/>
      <c r="H117" s="19"/>
      <c r="I117" s="19"/>
      <c r="J117" s="19"/>
      <c r="K117" s="19"/>
    </row>
    <row r="118" spans="2:11" x14ac:dyDescent="0.15">
      <c r="B118" s="18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ht="14.25" thickBot="1" x14ac:dyDescent="0.2">
      <c r="B119" s="20">
        <v>52</v>
      </c>
      <c r="C119" s="21"/>
      <c r="D119" s="21" t="str">
        <f>"AR22F0M-10M3G"</f>
        <v>AR22F0M-10M3G</v>
      </c>
      <c r="E119" s="21"/>
      <c r="F119" s="21"/>
      <c r="G119" s="21">
        <v>1</v>
      </c>
      <c r="H119" s="21">
        <v>1788</v>
      </c>
      <c r="I119" s="21">
        <v>1788</v>
      </c>
      <c r="J119" s="21"/>
      <c r="K119" s="21">
        <v>0</v>
      </c>
    </row>
    <row r="120" spans="2:11" ht="14.25" thickTop="1" x14ac:dyDescent="0.15">
      <c r="B120" s="19"/>
      <c r="C120" s="19"/>
      <c r="D120" s="19"/>
      <c r="E120" s="19"/>
      <c r="F120" s="19" t="str">
        <f>"小計"</f>
        <v>小計</v>
      </c>
      <c r="G120" s="19"/>
      <c r="H120" s="19"/>
      <c r="I120" s="19"/>
      <c r="J120" s="19"/>
      <c r="K120" s="19"/>
    </row>
    <row r="121" spans="2:11" x14ac:dyDescent="0.15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15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</sheetData>
  <mergeCells count="3">
    <mergeCell ref="B3:C4"/>
    <mergeCell ref="J3:K3"/>
    <mergeCell ref="J4:K4"/>
  </mergeCells>
  <phoneticPr fontId="1"/>
  <pageMargins left="0.70866141732283472" right="0.70866141732283472" top="0.35433070866141736" bottom="0.35433070866141736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layout</vt:lpstr>
      <vt:lpstr>format</vt:lpstr>
      <vt:lpstr>sample</vt:lpstr>
      <vt:lpstr>sample!_1</vt:lpstr>
      <vt:lpstr>format!Print_Titles</vt:lpstr>
      <vt:lpstr>layout!Print_Titles</vt:lpstr>
      <vt:lpstr>sample!Print_Titles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2018-05-31T02:01:01Z</cp:lastPrinted>
  <dcterms:created xsi:type="dcterms:W3CDTF">2017-04-13T08:38:51Z</dcterms:created>
  <dcterms:modified xsi:type="dcterms:W3CDTF">2018-06-25T02:55:24Z</dcterms:modified>
</cp:coreProperties>
</file>